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418" activeTab="1"/>
  </bookViews>
  <sheets>
    <sheet name="PL01" sheetId="1" r:id="rId1"/>
    <sheet name="PL02" sheetId="2" r:id="rId2"/>
    <sheet name="Sheet2" sheetId="3" r:id="rId3"/>
    <sheet name="Sheet1" sheetId="4" r:id="rId4"/>
  </sheets>
  <definedNames>
    <definedName name="_xlnm.Print_Area" localSheetId="1">'PL02'!$A$1:$Z$18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User</author>
  </authors>
  <commentList>
    <comment ref="I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J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K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H27" authorId="1">
      <text>
        <r>
          <rPr>
            <b/>
            <sz val="9"/>
            <rFont val="Tahoma"/>
            <family val="2"/>
          </rPr>
          <t>benh vien CĐ: 1300
du lieu dat dai: 1300
WB9: 5500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I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J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K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</commentList>
</comments>
</file>

<file path=xl/sharedStrings.xml><?xml version="1.0" encoding="utf-8"?>
<sst xmlns="http://schemas.openxmlformats.org/spreadsheetml/2006/main" count="188" uniqueCount="135">
  <si>
    <t>A</t>
  </si>
  <si>
    <t>B</t>
  </si>
  <si>
    <t>Nội dung</t>
  </si>
  <si>
    <t xml:space="preserve">So sánh </t>
  </si>
  <si>
    <t>THU NSĐP ĐƯỢC HƯỞNG THEO PHÂN CẤP (bao gồm XSKT)</t>
  </si>
  <si>
    <t>C</t>
  </si>
  <si>
    <t>I</t>
  </si>
  <si>
    <t>Tổng dư nợ đầu năm</t>
  </si>
  <si>
    <t>Vay đầu tư cụm tuyến DCVL đồng bằng sông Cửu Long</t>
  </si>
  <si>
    <t>Vay lại từ nguồn Chính phủ vay ngoài nước</t>
  </si>
  <si>
    <t>II</t>
  </si>
  <si>
    <t>III</t>
  </si>
  <si>
    <t xml:space="preserve">Trả nợ gốc vay trong năm </t>
  </si>
  <si>
    <t>Theo nguồn vốn vay</t>
  </si>
  <si>
    <t>-</t>
  </si>
  <si>
    <t>+</t>
  </si>
  <si>
    <t>Trái phiếu chính quyền địa phương</t>
  </si>
  <si>
    <t>IV</t>
  </si>
  <si>
    <t>Tổng dư nợ cuối năm</t>
  </si>
  <si>
    <t>D</t>
  </si>
  <si>
    <t>Stt</t>
  </si>
  <si>
    <t>Tên dự án/ Chương trình/ Hiệp định vay</t>
  </si>
  <si>
    <t xml:space="preserve">Chủ dự án </t>
  </si>
  <si>
    <t>Quyết định</t>
  </si>
  <si>
    <t>Tổng mức đầu tư</t>
  </si>
  <si>
    <t>Ngày ký hiệp định vay</t>
  </si>
  <si>
    <t>Tên nhà tài trợ</t>
  </si>
  <si>
    <t>Giá trị
hiệp định vay</t>
  </si>
  <si>
    <t>Cơ chế tài chính</t>
  </si>
  <si>
    <t>Tổng số</t>
  </si>
  <si>
    <t>Trong đó</t>
  </si>
  <si>
    <t>Số tiền</t>
  </si>
  <si>
    <t>Loại tiền</t>
  </si>
  <si>
    <t>Địa phương vay lại</t>
  </si>
  <si>
    <t>Năm 2017</t>
  </si>
  <si>
    <t>Năm 2020</t>
  </si>
  <si>
    <t>Năm 2021</t>
  </si>
  <si>
    <t>Vốn đối ứng</t>
  </si>
  <si>
    <t>Vốn ODA hỗ trợ chính thức không hoàn lại</t>
  </si>
  <si>
    <t>Vay ưu đãi vốn ODA</t>
  </si>
  <si>
    <t>TỔNG CỘNG</t>
  </si>
  <si>
    <t>11/03/2016</t>
  </si>
  <si>
    <t>WB</t>
  </si>
  <si>
    <t>Triệu USD</t>
  </si>
  <si>
    <t>BVSN</t>
  </si>
  <si>
    <t>TH năm 2016</t>
  </si>
  <si>
    <t xml:space="preserve">Kế hoạch </t>
  </si>
  <si>
    <t>Dự án đầu tư trang thiết bị cho Bệnh viện Sản Nhi AG</t>
  </si>
  <si>
    <t>VB 999/UBND-KGVX ngày 14/6/2017</t>
  </si>
  <si>
    <t>Phí thu xếp vốn</t>
  </si>
  <si>
    <t>Lãi và phí phải trả</t>
  </si>
  <si>
    <t>Ku
Wait</t>
  </si>
  <si>
    <t>Lãi và phí địa phương phải trả cho khoản vay lại</t>
  </si>
  <si>
    <t xml:space="preserve"> THU NGÂN SÁCH ĐỊA PHƯƠNG </t>
  </si>
  <si>
    <t xml:space="preserve"> CHI CÂN ĐỐI NGÂN SÁCH ĐỊA PHƯƠNG</t>
  </si>
  <si>
    <t xml:space="preserve"> HẠN MỨC DƯ NỢ VAY TỐI ĐA CỦA NSĐP THEO QUY ĐỊNH</t>
  </si>
  <si>
    <t>KẾ HOẠCH VAY, TRẢ NỢ GỐC</t>
  </si>
  <si>
    <t xml:space="preserve">Từ nguồn vay để trả nợ gốc </t>
  </si>
  <si>
    <t>Bội thu ngân sách địa phương</t>
  </si>
  <si>
    <t xml:space="preserve"> Theo mục đích vay</t>
  </si>
  <si>
    <t>Vay để bù đắp bội chi</t>
  </si>
  <si>
    <t xml:space="preserve">Vay để trả nợ gốc </t>
  </si>
  <si>
    <t xml:space="preserve"> Theo nguồn vay</t>
  </si>
  <si>
    <t>E</t>
  </si>
  <si>
    <t>G</t>
  </si>
  <si>
    <t>TRẢ NỢ LÃI, PHÍ</t>
  </si>
  <si>
    <t xml:space="preserve"> Chương trình KCHKM và đường giao thông nông thôn, làng nghề . . .</t>
  </si>
  <si>
    <t>Vay trong nước (Vay Ngân hàng phát triển Việt Nam) (1)</t>
  </si>
  <si>
    <t>Thực hiện năm 2017</t>
  </si>
  <si>
    <t>3=2-1</t>
  </si>
  <si>
    <t xml:space="preserve">NSTW cấp phát </t>
  </si>
  <si>
    <t>Dự kiến
năm 2020</t>
  </si>
  <si>
    <t>LẬP BIỂU</t>
  </si>
  <si>
    <t>Phạm Hữu Tín</t>
  </si>
  <si>
    <t>PHÒNG TC ĐẦU TƯ</t>
  </si>
  <si>
    <t>Dự kiến
năm 2021</t>
  </si>
  <si>
    <t>Sở NN&amp;PTNT</t>
  </si>
  <si>
    <t>Lê Quốc Bình</t>
  </si>
  <si>
    <t>An Giang, ngày 18  tháng 7 năm 2018</t>
  </si>
  <si>
    <t xml:space="preserve"> + Vay IDA</t>
  </si>
  <si>
    <t xml:space="preserve"> + Vay IDA SUF</t>
  </si>
  <si>
    <t>Dự kiến
năm 2022</t>
  </si>
  <si>
    <t>BVĐK Khu vực tỉnh</t>
  </si>
  <si>
    <t>Sở TN&amp;MT</t>
  </si>
  <si>
    <t>Vay thực hiện chương trình KCHKM và đường giao thông nông thôn</t>
  </si>
  <si>
    <t>Tỷ lệ mức dư nợ cuối kỳ so với mức dư nợ vay tối đa của NSĐP (%)</t>
  </si>
  <si>
    <t>(Kèm theo Tờ trình số           /TTr-UBND ngày ……./ 11/2018 của Ủy ban nhân dân tỉnh An Giang)</t>
  </si>
  <si>
    <t>2251/QĐ-UBND 14/9/2018</t>
  </si>
  <si>
    <t>Phụ lục 02</t>
  </si>
  <si>
    <t>Cung cấp trang thiết bị y tế Bệnh viện đa khoa khu vực Châu Đốc</t>
  </si>
  <si>
    <t>Thực hiện 
năm 2018</t>
  </si>
  <si>
    <t>1858/QĐ-UBND ngày 07/7/2016; 3139/QĐ-UBND ngày 12/12/2018</t>
  </si>
  <si>
    <t>3215/QĐ-UBND ngày 27/10/2017; 1854/QĐ-UBND ngày 31/7/2019</t>
  </si>
  <si>
    <t>2841/QĐ-UBND ngày 26/9/2017; 2595/QĐ-UBND ngày 22/10/2018</t>
  </si>
  <si>
    <t xml:space="preserve">Tiểu dự án: Tăng cường khả năng thích ứng và quản lý nước cho vùng thượng nguồn sông Cửu Long, huyện An Phú, thuộc dự án: Chống chịu khí hậu tổng hợp và sinh kế bền vững đồng bằng sông Cửu Long </t>
  </si>
  <si>
    <t>Mở rộng nâng cấp đô thị Việt Nam - Tiểu dự án thành phố Long Xuyên, tỉnh An Giang</t>
  </si>
  <si>
    <t>Dự án "Tăng cường quản lý đất đai và cơ sở dữ liệu đất đai tỉnh An Giang" (VILG)</t>
  </si>
  <si>
    <t>UBND TP. Long Xuyên</t>
  </si>
  <si>
    <t>Kế hoạch vay lại năm 2020</t>
  </si>
  <si>
    <t>Vốn khác</t>
  </si>
  <si>
    <t>Kết dư ngân sách cấp tỉnh</t>
  </si>
  <si>
    <t>Theo nguồn trả nợ</t>
  </si>
  <si>
    <t>Ngân sách địa phương</t>
  </si>
  <si>
    <t>Dân cư vượt lũ</t>
  </si>
  <si>
    <t>Vay trong nước khác</t>
  </si>
  <si>
    <t xml:space="preserve">BỘI CHI NGÂN SÁCH ĐỊA PHƯƠNG /BỘI THU NSĐP </t>
  </si>
  <si>
    <t>Tỷ lệ mức dư nợ đầu kỳ so với mức dư nợ vay tối đa của NSĐP (%)</t>
  </si>
  <si>
    <t>Tăng thu, tiết kiệm chi</t>
  </si>
  <si>
    <t xml:space="preserve">Tổng mức vay trong năm </t>
  </si>
  <si>
    <r>
      <t xml:space="preserve">   </t>
    </r>
    <r>
      <rPr>
        <b/>
        <i/>
        <sz val="14"/>
        <color indexed="9"/>
        <rFont val="Times New Roman"/>
        <family val="1"/>
      </rPr>
      <t>Ghi chú:</t>
    </r>
    <r>
      <rPr>
        <i/>
        <sz val="14"/>
        <color indexed="9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</si>
  <si>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t>Chương trình KCHKM và đường giao thông nông thôn</t>
  </si>
  <si>
    <t>Bội chi</t>
  </si>
  <si>
    <t>Bội thu</t>
  </si>
  <si>
    <t>BỘI CHI VÀ PHƯƠNG ÁN VAY - TRẢ NỢ NGÂN SÁCH ĐỊA PHƯƠNG NĂM 2021</t>
  </si>
  <si>
    <t>Lũy kế dư nợ địa phương vay lại vốn nước ngoài của Chính phủ đến cuối năm 2019</t>
  </si>
  <si>
    <t>Kế hoạch vay lại năm 2021</t>
  </si>
  <si>
    <t>Sở Y tế</t>
  </si>
  <si>
    <t>Chính phủ Áo</t>
  </si>
  <si>
    <t>Triệu EUR</t>
  </si>
  <si>
    <t>Trả nợ</t>
  </si>
  <si>
    <t>Tổng</t>
  </si>
  <si>
    <t>Nợ gốc</t>
  </si>
  <si>
    <t>Trong đó:</t>
  </si>
  <si>
    <t>CV 999/UBND-KGVX ngày 14/6/2017</t>
  </si>
  <si>
    <t>Dự toán điều chỉnh
năm 2021</t>
  </si>
  <si>
    <t>ĐIỀU CHỈNH KẾ HOẠCH VAY LẠI VỐN VAY ODA, VAY ƯU ĐÃI NƯỚC NGOÀI CỦA CHÍNH PHỦ NĂM 2021</t>
  </si>
  <si>
    <t>Điều chỉnh kế hoạch vay lại cuối năm 2021</t>
  </si>
  <si>
    <t>Tăng/giảm</t>
  </si>
  <si>
    <t>Thực hiện năm 2020</t>
  </si>
  <si>
    <t>Thực hiện 
năm 2020</t>
  </si>
  <si>
    <t>Vay trong nước (Vay Ngân hàng phát triển Việt Nam)</t>
  </si>
  <si>
    <t>Đơn vị: Triệu đồng.</t>
  </si>
  <si>
    <t>Đơn vị Triệu đồng</t>
  </si>
  <si>
    <r>
      <rPr>
        <b/>
        <sz val="17"/>
        <rFont val="Times New Roman"/>
        <family val="1"/>
      </rPr>
      <t xml:space="preserve">Phụ lục 01 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(theo Biểu mẫu số 18, Nghị định số 31/2017/NĐ-CP ngày 23/3/2017 của Chính phủ)</t>
    </r>
  </si>
  <si>
    <t>(Kèm theo Nghị quyết số 42/NQ-HĐND ngày 08/12/2021 của Hội đồng nhân dân tỉnh An Giang)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</si>
</sst>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-* #,##0.0\ _₫_-;\-* #,##0.0\ _₫_-;_-* &quot;-&quot;??\ _₫_-;_-@_-"/>
    <numFmt numFmtId="175" formatCode="_-* #,##0\ _₫_-;\-* #,##0\ _₫_-;_-* &quot;-&quot;??\ _₫_-;_-@_-"/>
    <numFmt numFmtId="176" formatCode="_(* #,##0_);_(* \(#,##0\);_(* &quot;-&quot;??_);_(@_)"/>
    <numFmt numFmtId="177" formatCode="#,###;[Red]\-#,###"/>
    <numFmt numFmtId="178" formatCode="_-* #,##0.000\ _₫_-;\-* #,##0.000\ _₫_-;_-* &quot;-&quot;??\ _₫_-;_-@_-"/>
    <numFmt numFmtId="179" formatCode="_-* #,##0.0000\ _₫_-;\-* #,##0.0000\ _₫_-;_-* &quot;-&quot;??\ _₫_-;_-@_-"/>
    <numFmt numFmtId="180" formatCode="#,##0.000"/>
    <numFmt numFmtId="181" formatCode="_-* #,##0.000\ _₫_-;\-* #,##0.000\ _₫_-;_-* &quot;-&quot;???\ _₫_-;_-@_-"/>
    <numFmt numFmtId="182" formatCode="[$-42A]dd\ mmmm\ yyyy"/>
    <numFmt numFmtId="183" formatCode="[$-42A]h:mm:ss\ AM/PM"/>
    <numFmt numFmtId="184" formatCode="0.0"/>
    <numFmt numFmtId="185" formatCode="#,##0.0"/>
    <numFmt numFmtId="186" formatCode="_-* #,##0.0\ _₫_-;\-* #,##0.0\ _₫_-;_-* &quot;-&quot;\ _₫_-;_-@_-"/>
    <numFmt numFmtId="187" formatCode="_-* #,##0.00\ _₫_-;\-* #,##0.00\ _₫_-;_-* &quot;-&quot;\ _₫_-;_-@_-"/>
    <numFmt numFmtId="188" formatCode="_-* #,##0.000\ _₫_-;\-* #,##0.000\ _₫_-;_-* &quot;-&quot;\ _₫_-;_-@_-"/>
    <numFmt numFmtId="189" formatCode="_-* #,##0.0000\ _₫_-;\-* #,##0.0000\ _₫_-;_-* &quot;-&quot;\ _₫_-;_-@_-"/>
    <numFmt numFmtId="190" formatCode="_-* #,##0.00000\ _₫_-;\-* #,##0.00000\ _₫_-;_-* &quot;-&quot;\ _₫_-;_-@_-"/>
    <numFmt numFmtId="191" formatCode="#,##0.0000"/>
    <numFmt numFmtId="192" formatCode="#,##0.00000"/>
    <numFmt numFmtId="193" formatCode="#,##0.000000"/>
    <numFmt numFmtId="194" formatCode="#,##0.0000000"/>
    <numFmt numFmtId="195" formatCode="#,##0;[Red]#,##0"/>
    <numFmt numFmtId="196" formatCode="0;[Red]0"/>
    <numFmt numFmtId="197" formatCode="_(* #.##0.00_);_(* \(#.##0.00\);_(* &quot;-&quot;??_);_(@_)"/>
    <numFmt numFmtId="198" formatCode="#,##0.00;[Red]#,##0.00"/>
    <numFmt numFmtId="199" formatCode="_-* #,##0\ &quot;F&quot;_-;\-* #,##0\ &quot;F&quot;_-;_-* &quot;-&quot;\ &quot;F&quot;_-;_-@_-"/>
    <numFmt numFmtId="200" formatCode="_(* #,##0.000_);_(* \(#,##0.000\);_(* &quot;-&quot;???_);_(@_)"/>
    <numFmt numFmtId="201" formatCode="0.000"/>
    <numFmt numFmtId="202" formatCode="0.0%"/>
    <numFmt numFmtId="203" formatCode="_-* #,##0.00000\ _₫_-;\-* #,##0.00000\ _₫_-;_-* &quot;-&quot;??\ _₫_-;_-@_-"/>
    <numFmt numFmtId="204" formatCode="[$-409]dddd\,\ mmmm\ dd\,\ yyyy"/>
    <numFmt numFmtId="205" formatCode="[$-409]h:mm:ss\ AM/PM"/>
  </numFmts>
  <fonts count="8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NI-Times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i/>
      <sz val="13"/>
      <name val="Times New Roman"/>
      <family val="1"/>
    </font>
    <font>
      <b/>
      <sz val="17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sz val="13"/>
      <color theme="0"/>
      <name val="Times New Roman"/>
      <family val="1"/>
    </font>
    <font>
      <i/>
      <sz val="13"/>
      <color theme="0"/>
      <name val="Times New Roman"/>
      <family val="1"/>
    </font>
    <font>
      <i/>
      <sz val="14"/>
      <color theme="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4" fillId="0" borderId="0">
      <alignment/>
      <protection/>
    </xf>
    <xf numFmtId="0" fontId="66" fillId="0" borderId="0">
      <alignment/>
      <protection/>
    </xf>
    <xf numFmtId="0" fontId="5" fillId="0" borderId="0">
      <alignment vertical="top"/>
      <protection/>
    </xf>
    <xf numFmtId="0" fontId="66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7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172" fontId="6" fillId="0" borderId="11" xfId="42" applyNumberFormat="1" applyFont="1" applyFill="1" applyBorder="1" applyAlignment="1">
      <alignment horizontal="right" vertical="center" wrapText="1"/>
    </xf>
    <xf numFmtId="195" fontId="6" fillId="0" borderId="11" xfId="75" applyNumberFormat="1" applyFont="1" applyFill="1" applyBorder="1" applyAlignment="1">
      <alignment horizontal="right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9" fontId="4" fillId="0" borderId="16" xfId="78" applyFont="1" applyBorder="1" applyAlignment="1">
      <alignment vertical="center"/>
    </xf>
    <xf numFmtId="10" fontId="4" fillId="0" borderId="16" xfId="78" applyNumberFormat="1" applyFont="1" applyBorder="1" applyAlignment="1">
      <alignment vertical="center"/>
    </xf>
    <xf numFmtId="202" fontId="4" fillId="0" borderId="16" xfId="78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9" fontId="4" fillId="0" borderId="16" xfId="78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176" fontId="2" fillId="0" borderId="16" xfId="42" applyNumberFormat="1" applyFont="1" applyBorder="1" applyAlignment="1">
      <alignment vertical="center"/>
    </xf>
    <xf numFmtId="176" fontId="2" fillId="0" borderId="16" xfId="42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6" xfId="0" applyFont="1" applyBorder="1" applyAlignment="1">
      <alignment vertical="center" wrapText="1"/>
    </xf>
    <xf numFmtId="3" fontId="76" fillId="0" borderId="16" xfId="0" applyNumberFormat="1" applyFont="1" applyBorder="1" applyAlignment="1">
      <alignment vertical="center"/>
    </xf>
    <xf numFmtId="3" fontId="76" fillId="0" borderId="16" xfId="0" applyNumberFormat="1" applyFont="1" applyBorder="1" applyAlignment="1">
      <alignment horizontal="right" vertical="center"/>
    </xf>
    <xf numFmtId="0" fontId="76" fillId="0" borderId="0" xfId="0" applyFont="1" applyAlignment="1">
      <alignment vertical="center"/>
    </xf>
    <xf numFmtId="0" fontId="77" fillId="0" borderId="16" xfId="0" applyFont="1" applyBorder="1" applyAlignment="1" quotePrefix="1">
      <alignment horizontal="center" vertical="center"/>
    </xf>
    <xf numFmtId="0" fontId="74" fillId="0" borderId="16" xfId="0" applyFont="1" applyBorder="1" applyAlignment="1">
      <alignment vertical="center" wrapText="1"/>
    </xf>
    <xf numFmtId="3" fontId="74" fillId="0" borderId="16" xfId="0" applyNumberFormat="1" applyFont="1" applyBorder="1" applyAlignment="1">
      <alignment vertical="center"/>
    </xf>
    <xf numFmtId="3" fontId="74" fillId="0" borderId="16" xfId="0" applyNumberFormat="1" applyFont="1" applyBorder="1" applyAlignment="1">
      <alignment horizontal="right" vertical="center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0" fontId="76" fillId="0" borderId="16" xfId="0" applyFont="1" applyBorder="1" applyAlignment="1">
      <alignment vertical="center"/>
    </xf>
    <xf numFmtId="0" fontId="78" fillId="0" borderId="16" xfId="0" applyFont="1" applyBorder="1" applyAlignment="1" quotePrefix="1">
      <alignment horizontal="center" vertical="center"/>
    </xf>
    <xf numFmtId="9" fontId="76" fillId="0" borderId="16" xfId="78" applyFont="1" applyBorder="1" applyAlignment="1">
      <alignment vertical="center"/>
    </xf>
    <xf numFmtId="0" fontId="74" fillId="0" borderId="16" xfId="0" applyFont="1" applyBorder="1" applyAlignment="1">
      <alignment vertical="center"/>
    </xf>
    <xf numFmtId="3" fontId="77" fillId="0" borderId="16" xfId="0" applyNumberFormat="1" applyFont="1" applyBorder="1" applyAlignment="1">
      <alignment vertical="center"/>
    </xf>
    <xf numFmtId="0" fontId="77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10" fontId="4" fillId="0" borderId="16" xfId="78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72" fontId="20" fillId="33" borderId="11" xfId="42" applyNumberFormat="1" applyFont="1" applyFill="1" applyBorder="1" applyAlignment="1">
      <alignment horizontal="right" vertical="center" wrapText="1"/>
    </xf>
    <xf numFmtId="195" fontId="20" fillId="0" borderId="11" xfId="75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vertical="center"/>
    </xf>
    <xf numFmtId="175" fontId="5" fillId="0" borderId="11" xfId="42" applyNumberFormat="1" applyFont="1" applyFill="1" applyBorder="1" applyAlignment="1">
      <alignment horizontal="center" vertical="center" wrapText="1"/>
    </xf>
    <xf numFmtId="175" fontId="74" fillId="0" borderId="11" xfId="42" applyNumberFormat="1" applyFont="1" applyFill="1" applyBorder="1" applyAlignment="1">
      <alignment horizontal="center" vertical="center" wrapText="1"/>
    </xf>
    <xf numFmtId="1" fontId="6" fillId="0" borderId="11" xfId="75" applyNumberFormat="1" applyFont="1" applyFill="1" applyBorder="1" applyAlignment="1">
      <alignment horizontal="center" vertical="center" wrapText="1"/>
      <protection/>
    </xf>
    <xf numFmtId="3" fontId="6" fillId="0" borderId="11" xfId="0" applyNumberFormat="1" applyFont="1" applyFill="1" applyBorder="1" applyAlignment="1">
      <alignment vertical="center"/>
    </xf>
    <xf numFmtId="175" fontId="6" fillId="0" borderId="11" xfId="42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3" fontId="6" fillId="0" borderId="11" xfId="75" applyNumberFormat="1" applyFont="1" applyFill="1" applyBorder="1" applyAlignment="1" quotePrefix="1">
      <alignment horizontal="right" vertical="center" wrapText="1"/>
      <protection/>
    </xf>
    <xf numFmtId="0" fontId="7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3" fontId="79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42" applyNumberFormat="1" applyFont="1" applyFill="1" applyBorder="1" applyAlignment="1">
      <alignment horizontal="center" vertical="center" wrapText="1"/>
    </xf>
    <xf numFmtId="9" fontId="6" fillId="0" borderId="11" xfId="78" applyFont="1" applyFill="1" applyBorder="1" applyAlignment="1">
      <alignment horizontal="center" vertical="center" wrapText="1"/>
    </xf>
    <xf numFmtId="172" fontId="6" fillId="0" borderId="11" xfId="42" applyNumberFormat="1" applyFont="1" applyFill="1" applyBorder="1" applyAlignment="1">
      <alignment horizontal="center" vertical="center" wrapText="1"/>
    </xf>
    <xf numFmtId="172" fontId="75" fillId="0" borderId="11" xfId="4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" fontId="20" fillId="0" borderId="11" xfId="75" applyNumberFormat="1" applyFont="1" applyFill="1" applyBorder="1" applyAlignment="1">
      <alignment horizontal="center" vertical="center" wrapText="1"/>
      <protection/>
    </xf>
    <xf numFmtId="3" fontId="20" fillId="0" borderId="11" xfId="0" applyNumberFormat="1" applyFont="1" applyFill="1" applyBorder="1" applyAlignment="1">
      <alignment vertical="center"/>
    </xf>
    <xf numFmtId="3" fontId="20" fillId="0" borderId="11" xfId="75" applyNumberFormat="1" applyFont="1" applyFill="1" applyBorder="1" applyAlignment="1" quotePrefix="1">
      <alignment horizontal="right" vertical="center" wrapText="1"/>
      <protection/>
    </xf>
    <xf numFmtId="49" fontId="20" fillId="0" borderId="11" xfId="42" applyNumberFormat="1" applyFont="1" applyFill="1" applyBorder="1" applyAlignment="1">
      <alignment horizontal="center" vertical="center" wrapText="1"/>
    </xf>
    <xf numFmtId="175" fontId="20" fillId="0" borderId="11" xfId="42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 vertical="center"/>
    </xf>
    <xf numFmtId="172" fontId="20" fillId="0" borderId="11" xfId="42" applyNumberFormat="1" applyFont="1" applyFill="1" applyBorder="1" applyAlignment="1">
      <alignment horizontal="right" vertical="center" wrapText="1"/>
    </xf>
    <xf numFmtId="9" fontId="20" fillId="0" borderId="11" xfId="78" applyFont="1" applyFill="1" applyBorder="1" applyAlignment="1">
      <alignment horizontal="center" vertical="center" wrapText="1"/>
    </xf>
    <xf numFmtId="172" fontId="80" fillId="0" borderId="11" xfId="42" applyNumberFormat="1" applyFont="1" applyFill="1" applyBorder="1" applyAlignment="1">
      <alignment horizontal="center" vertical="center" wrapText="1"/>
    </xf>
    <xf numFmtId="10" fontId="20" fillId="0" borderId="11" xfId="78" applyNumberFormat="1" applyFont="1" applyFill="1" applyBorder="1" applyAlignment="1">
      <alignment horizontal="center" vertical="center" wrapText="1"/>
    </xf>
    <xf numFmtId="196" fontId="5" fillId="0" borderId="11" xfId="73" applyNumberFormat="1" applyFont="1" applyFill="1" applyBorder="1" applyAlignment="1">
      <alignment horizontal="center" vertical="center" wrapText="1"/>
      <protection/>
    </xf>
    <xf numFmtId="185" fontId="5" fillId="0" borderId="11" xfId="0" applyNumberFormat="1" applyFont="1" applyFill="1" applyBorder="1" applyAlignment="1">
      <alignment horizontal="right" vertical="center"/>
    </xf>
    <xf numFmtId="172" fontId="5" fillId="0" borderId="11" xfId="42" applyNumberFormat="1" applyFont="1" applyFill="1" applyBorder="1" applyAlignment="1">
      <alignment horizontal="right" vertical="center" wrapText="1"/>
    </xf>
    <xf numFmtId="9" fontId="5" fillId="0" borderId="11" xfId="78" applyFont="1" applyFill="1" applyBorder="1" applyAlignment="1">
      <alignment horizontal="center" vertical="center" wrapText="1"/>
    </xf>
    <xf numFmtId="172" fontId="74" fillId="0" borderId="11" xfId="42" applyNumberFormat="1" applyFont="1" applyFill="1" applyBorder="1" applyAlignment="1">
      <alignment horizontal="right" vertical="center" wrapText="1"/>
    </xf>
    <xf numFmtId="3" fontId="5" fillId="0" borderId="11" xfId="50" applyNumberFormat="1" applyFont="1" applyFill="1" applyBorder="1" applyAlignment="1">
      <alignment horizontal="right" vertical="center" wrapText="1"/>
    </xf>
    <xf numFmtId="195" fontId="5" fillId="0" borderId="11" xfId="75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7" fillId="0" borderId="11" xfId="0" applyFont="1" applyFill="1" applyBorder="1" applyAlignment="1">
      <alignment vertical="center" wrapText="1"/>
    </xf>
    <xf numFmtId="172" fontId="81" fillId="0" borderId="11" xfId="0" applyNumberFormat="1" applyFont="1" applyFill="1" applyBorder="1" applyAlignment="1">
      <alignment vertical="center" wrapText="1"/>
    </xf>
    <xf numFmtId="172" fontId="82" fillId="0" borderId="11" xfId="0" applyNumberFormat="1" applyFont="1" applyFill="1" applyBorder="1" applyAlignment="1">
      <alignment vertical="center" wrapText="1"/>
    </xf>
    <xf numFmtId="172" fontId="6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/>
    </xf>
    <xf numFmtId="195" fontId="6" fillId="33" borderId="11" xfId="75" applyNumberFormat="1" applyFont="1" applyFill="1" applyBorder="1" applyAlignment="1">
      <alignment horizontal="right" vertical="center"/>
      <protection/>
    </xf>
    <xf numFmtId="172" fontId="6" fillId="33" borderId="11" xfId="42" applyNumberFormat="1" applyFont="1" applyFill="1" applyBorder="1" applyAlignment="1">
      <alignment horizontal="right" vertical="center" wrapText="1"/>
    </xf>
    <xf numFmtId="172" fontId="5" fillId="33" borderId="11" xfId="42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10 2" xfId="45"/>
    <cellStyle name="Comma 2 4 3" xfId="46"/>
    <cellStyle name="Comma 4 2" xfId="47"/>
    <cellStyle name="Comma 4 2 5" xfId="48"/>
    <cellStyle name="Comma 4 2_bieu 21" xfId="49"/>
    <cellStyle name="Comma 5" xfId="50"/>
    <cellStyle name="Comma 5 1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 2 2" xfId="65"/>
    <cellStyle name="Normal 11" xfId="66"/>
    <cellStyle name="Normal 11 3 5" xfId="67"/>
    <cellStyle name="Normal 11 4 2" xfId="68"/>
    <cellStyle name="Normal 13 3" xfId="69"/>
    <cellStyle name="Normal 13 3 2" xfId="70"/>
    <cellStyle name="Normal 15 4" xfId="71"/>
    <cellStyle name="Normal 19 4" xfId="72"/>
    <cellStyle name="Normal 2" xfId="73"/>
    <cellStyle name="Normal 67" xfId="74"/>
    <cellStyle name="Normal_Bieu mau (CV )" xfId="75"/>
    <cellStyle name="Note" xfId="76"/>
    <cellStyle name="Output" xfId="77"/>
    <cellStyle name="Percent" xfId="78"/>
    <cellStyle name="Style 1 2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69"/>
  <sheetViews>
    <sheetView zoomScale="75" zoomScaleNormal="75" zoomScalePageLayoutView="0" workbookViewId="0" topLeftCell="A1">
      <pane ySplit="9" topLeftCell="A58" activePane="bottomLeft" state="frozen"/>
      <selection pane="topLeft" activeCell="A1" sqref="A1"/>
      <selection pane="bottomLeft" activeCell="B6" sqref="B6:B7"/>
    </sheetView>
  </sheetViews>
  <sheetFormatPr defaultColWidth="9.00390625" defaultRowHeight="15.75"/>
  <cols>
    <col min="1" max="1" width="7.00390625" style="12" customWidth="1"/>
    <col min="2" max="2" width="79.253906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8" width="16.125" style="12" customWidth="1"/>
    <col min="9" max="11" width="13.75390625" style="12" hidden="1" customWidth="1"/>
    <col min="12" max="12" width="16.125" style="12" customWidth="1"/>
    <col min="13" max="16384" width="9.00390625" style="12" customWidth="1"/>
  </cols>
  <sheetData>
    <row r="1" spans="1:12" ht="48" customHeight="1">
      <c r="A1" s="161" t="s">
        <v>133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7" customHeight="1">
      <c r="A2" s="169" t="s">
        <v>113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.75">
      <c r="A3" s="170" t="s">
        <v>134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8.75" hidden="1">
      <c r="A4" s="170" t="s">
        <v>86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8.75">
      <c r="A5" s="9"/>
      <c r="B5" s="9"/>
      <c r="C5" s="4"/>
      <c r="E5" s="171" t="s">
        <v>131</v>
      </c>
      <c r="F5" s="171"/>
      <c r="G5" s="171"/>
      <c r="H5" s="171"/>
      <c r="I5" s="171"/>
      <c r="J5" s="171"/>
      <c r="K5" s="171"/>
      <c r="L5" s="171"/>
    </row>
    <row r="6" spans="1:12" s="7" customFormat="1" ht="22.5" customHeight="1">
      <c r="A6" s="164" t="s">
        <v>20</v>
      </c>
      <c r="B6" s="164" t="s">
        <v>2</v>
      </c>
      <c r="C6" s="166" t="s">
        <v>45</v>
      </c>
      <c r="D6" s="168" t="s">
        <v>34</v>
      </c>
      <c r="E6" s="168"/>
      <c r="F6" s="166" t="s">
        <v>90</v>
      </c>
      <c r="G6" s="166" t="s">
        <v>129</v>
      </c>
      <c r="H6" s="166" t="s">
        <v>124</v>
      </c>
      <c r="I6" s="166" t="s">
        <v>71</v>
      </c>
      <c r="J6" s="166" t="s">
        <v>75</v>
      </c>
      <c r="K6" s="166" t="s">
        <v>81</v>
      </c>
      <c r="L6" s="166" t="s">
        <v>3</v>
      </c>
    </row>
    <row r="7" spans="1:12" s="7" customFormat="1" ht="44.25" customHeight="1">
      <c r="A7" s="165"/>
      <c r="B7" s="165"/>
      <c r="C7" s="167"/>
      <c r="D7" s="6" t="s">
        <v>46</v>
      </c>
      <c r="E7" s="24" t="s">
        <v>68</v>
      </c>
      <c r="F7" s="167"/>
      <c r="G7" s="167"/>
      <c r="H7" s="167"/>
      <c r="I7" s="167"/>
      <c r="J7" s="167"/>
      <c r="K7" s="167"/>
      <c r="L7" s="167"/>
    </row>
    <row r="8" spans="1:12" s="3" customFormat="1" ht="22.5" customHeight="1">
      <c r="A8" s="2" t="s">
        <v>0</v>
      </c>
      <c r="B8" s="1" t="s">
        <v>1</v>
      </c>
      <c r="C8" s="2">
        <v>1</v>
      </c>
      <c r="D8" s="2">
        <v>1</v>
      </c>
      <c r="E8" s="2">
        <v>2</v>
      </c>
      <c r="F8" s="2">
        <v>1</v>
      </c>
      <c r="G8" s="2">
        <v>1</v>
      </c>
      <c r="H8" s="2">
        <v>2</v>
      </c>
      <c r="I8" s="2">
        <v>6</v>
      </c>
      <c r="J8" s="2">
        <v>6</v>
      </c>
      <c r="K8" s="2">
        <v>6</v>
      </c>
      <c r="L8" s="2" t="s">
        <v>69</v>
      </c>
    </row>
    <row r="9" spans="1:12" s="16" customFormat="1" ht="6" customHeight="1" hidden="1">
      <c r="A9" s="14"/>
      <c r="B9" s="13" t="s">
        <v>4</v>
      </c>
      <c r="C9" s="14"/>
      <c r="D9" s="15">
        <v>4921700</v>
      </c>
      <c r="E9" s="15"/>
      <c r="F9" s="15">
        <f>D9*1.13</f>
        <v>5561520.999999999</v>
      </c>
      <c r="G9" s="15" t="e">
        <f>#REF!*1.13</f>
        <v>#REF!</v>
      </c>
      <c r="H9" s="15">
        <f>F9*1.13</f>
        <v>6284518.729999999</v>
      </c>
      <c r="I9" s="15">
        <f>H9*1.13</f>
        <v>7101506.164899997</v>
      </c>
      <c r="J9" s="15">
        <f>I9*1.13</f>
        <v>8024701.966336996</v>
      </c>
      <c r="K9" s="15">
        <f>J9*1.13</f>
        <v>9067913.221960805</v>
      </c>
      <c r="L9" s="15" t="e">
        <f>#REF!*1.13</f>
        <v>#REF!</v>
      </c>
    </row>
    <row r="10" spans="1:12" s="8" customFormat="1" ht="23.25" customHeight="1">
      <c r="A10" s="34" t="s">
        <v>0</v>
      </c>
      <c r="B10" s="35" t="s">
        <v>53</v>
      </c>
      <c r="C10" s="34"/>
      <c r="D10" s="36">
        <v>4921700</v>
      </c>
      <c r="E10" s="36">
        <v>5215000</v>
      </c>
      <c r="F10" s="36">
        <v>5284506</v>
      </c>
      <c r="G10" s="158">
        <v>6348556</v>
      </c>
      <c r="H10" s="37">
        <v>6023800</v>
      </c>
      <c r="I10" s="38">
        <f>H10*113%</f>
        <v>6806893.999999999</v>
      </c>
      <c r="J10" s="38">
        <f>I10*113%</f>
        <v>7691790.219999998</v>
      </c>
      <c r="K10" s="38">
        <f>J10*113%</f>
        <v>8691722.948599996</v>
      </c>
      <c r="L10" s="38">
        <f>H10-G10</f>
        <v>-324756</v>
      </c>
    </row>
    <row r="11" spans="1:12" s="8" customFormat="1" ht="23.25" customHeight="1">
      <c r="A11" s="39" t="s">
        <v>1</v>
      </c>
      <c r="B11" s="40" t="s">
        <v>54</v>
      </c>
      <c r="C11" s="39"/>
      <c r="D11" s="41">
        <v>10706091</v>
      </c>
      <c r="E11" s="41">
        <v>10817258</v>
      </c>
      <c r="F11" s="41">
        <v>11282950</v>
      </c>
      <c r="G11" s="159">
        <v>14231154</v>
      </c>
      <c r="H11" s="43">
        <f>13120830-204800+H12</f>
        <v>12960346</v>
      </c>
      <c r="I11" s="44">
        <f>H11*110%</f>
        <v>14256380.600000001</v>
      </c>
      <c r="J11" s="44">
        <f>I11*110%</f>
        <v>15682018.660000002</v>
      </c>
      <c r="K11" s="44">
        <f>J11*110%</f>
        <v>17250220.526000004</v>
      </c>
      <c r="L11" s="44">
        <f>+H11-G11</f>
        <v>-1270808</v>
      </c>
    </row>
    <row r="12" spans="1:12" s="8" customFormat="1" ht="24" customHeight="1">
      <c r="A12" s="39" t="s">
        <v>5</v>
      </c>
      <c r="B12" s="40" t="s">
        <v>105</v>
      </c>
      <c r="C12" s="41"/>
      <c r="D12" s="41">
        <v>11320</v>
      </c>
      <c r="E12" s="45">
        <v>-11320</v>
      </c>
      <c r="F12" s="45">
        <v>93500</v>
      </c>
      <c r="G12" s="41">
        <f>G13</f>
        <v>122400</v>
      </c>
      <c r="H12" s="41">
        <f>H13</f>
        <v>44316</v>
      </c>
      <c r="I12" s="41">
        <f>I13</f>
        <v>0</v>
      </c>
      <c r="J12" s="41">
        <f>J13</f>
        <v>0</v>
      </c>
      <c r="K12" s="41">
        <f>K13</f>
        <v>0</v>
      </c>
      <c r="L12" s="44">
        <f>+H12-G12</f>
        <v>-78084</v>
      </c>
    </row>
    <row r="13" spans="1:12" s="8" customFormat="1" ht="24" customHeight="1">
      <c r="A13" s="54">
        <v>1</v>
      </c>
      <c r="B13" s="55" t="s">
        <v>111</v>
      </c>
      <c r="C13" s="41"/>
      <c r="D13" s="41"/>
      <c r="E13" s="45"/>
      <c r="F13" s="45"/>
      <c r="G13" s="154">
        <v>122400</v>
      </c>
      <c r="H13" s="160">
        <v>44316</v>
      </c>
      <c r="I13" s="46"/>
      <c r="J13" s="46"/>
      <c r="K13" s="46"/>
      <c r="L13" s="49">
        <f>+H13-G13</f>
        <v>-78084</v>
      </c>
    </row>
    <row r="14" spans="1:12" s="8" customFormat="1" ht="24" customHeight="1">
      <c r="A14" s="54">
        <v>2</v>
      </c>
      <c r="B14" s="55" t="s">
        <v>112</v>
      </c>
      <c r="C14" s="41"/>
      <c r="D14" s="41"/>
      <c r="E14" s="45"/>
      <c r="F14" s="45"/>
      <c r="G14" s="47"/>
      <c r="H14" s="49"/>
      <c r="I14" s="49"/>
      <c r="J14" s="49"/>
      <c r="K14" s="49"/>
      <c r="L14" s="49"/>
    </row>
    <row r="15" spans="1:12" s="8" customFormat="1" ht="23.25" customHeight="1">
      <c r="A15" s="39" t="s">
        <v>19</v>
      </c>
      <c r="B15" s="40" t="s">
        <v>55</v>
      </c>
      <c r="C15" s="41">
        <f>2365800*0.3</f>
        <v>709740</v>
      </c>
      <c r="D15" s="41">
        <f aca="true" t="shared" si="0" ref="D15:J15">+D10*0.2</f>
        <v>984340</v>
      </c>
      <c r="E15" s="41">
        <f t="shared" si="0"/>
        <v>1043000</v>
      </c>
      <c r="F15" s="41">
        <f t="shared" si="0"/>
        <v>1056901.2</v>
      </c>
      <c r="G15" s="41">
        <f>G10*0.2</f>
        <v>1269711.2000000002</v>
      </c>
      <c r="H15" s="44">
        <f>+H10*0.2</f>
        <v>1204760</v>
      </c>
      <c r="I15" s="44">
        <f t="shared" si="0"/>
        <v>1361378.7999999998</v>
      </c>
      <c r="J15" s="44">
        <f t="shared" si="0"/>
        <v>1538358.0439999998</v>
      </c>
      <c r="K15" s="44">
        <f>+K10*0.2</f>
        <v>1738344.5897199993</v>
      </c>
      <c r="L15" s="44">
        <f>+H15-G15</f>
        <v>-64951.200000000186</v>
      </c>
    </row>
    <row r="16" spans="1:12" s="4" customFormat="1" ht="23.25" customHeight="1">
      <c r="A16" s="39" t="s">
        <v>63</v>
      </c>
      <c r="B16" s="40" t="s">
        <v>56</v>
      </c>
      <c r="C16" s="47"/>
      <c r="D16" s="47"/>
      <c r="E16" s="48"/>
      <c r="F16" s="47"/>
      <c r="G16" s="52"/>
      <c r="H16" s="49"/>
      <c r="I16" s="49"/>
      <c r="J16" s="49"/>
      <c r="K16" s="49"/>
      <c r="L16" s="44"/>
    </row>
    <row r="17" spans="1:12" s="4" customFormat="1" ht="23.25" customHeight="1">
      <c r="A17" s="39" t="s">
        <v>6</v>
      </c>
      <c r="B17" s="40" t="s">
        <v>7</v>
      </c>
      <c r="C17" s="41" t="e">
        <f>C21+#REF!+C19+#REF!+#REF!</f>
        <v>#REF!</v>
      </c>
      <c r="D17" s="41">
        <f aca="true" t="shared" si="1" ref="D17:J17">D19+D20+D21</f>
        <v>705970</v>
      </c>
      <c r="E17" s="41">
        <f t="shared" si="1"/>
        <v>705970</v>
      </c>
      <c r="F17" s="41" t="e">
        <f t="shared" si="1"/>
        <v>#REF!</v>
      </c>
      <c r="G17" s="44">
        <f t="shared" si="1"/>
        <v>277430</v>
      </c>
      <c r="H17" s="44">
        <f t="shared" si="1"/>
        <v>212622</v>
      </c>
      <c r="I17" s="44">
        <f t="shared" si="1"/>
        <v>168838</v>
      </c>
      <c r="J17" s="44" t="e">
        <f t="shared" si="1"/>
        <v>#REF!</v>
      </c>
      <c r="K17" s="44" t="e">
        <f>K19+K20+K21</f>
        <v>#REF!</v>
      </c>
      <c r="L17" s="44">
        <f>+H17-G17</f>
        <v>-64808</v>
      </c>
    </row>
    <row r="18" spans="1:12" s="5" customFormat="1" ht="37.5">
      <c r="A18" s="71"/>
      <c r="B18" s="50" t="s">
        <v>106</v>
      </c>
      <c r="C18" s="51" t="e">
        <f aca="true" t="shared" si="2" ref="C18:I18">C17/C15</f>
        <v>#REF!</v>
      </c>
      <c r="D18" s="52">
        <f t="shared" si="2"/>
        <v>0.7172013735091534</v>
      </c>
      <c r="E18" s="52">
        <f t="shared" si="2"/>
        <v>0.6768648130393097</v>
      </c>
      <c r="F18" s="52" t="e">
        <f t="shared" si="2"/>
        <v>#REF!</v>
      </c>
      <c r="G18" s="52">
        <v>0.23862072524599187</v>
      </c>
      <c r="H18" s="99">
        <f t="shared" si="2"/>
        <v>0.1764849430591985</v>
      </c>
      <c r="I18" s="99">
        <f t="shared" si="2"/>
        <v>0.12401985398920566</v>
      </c>
      <c r="J18" s="99" t="e">
        <f>J17/J15</f>
        <v>#REF!</v>
      </c>
      <c r="K18" s="99" t="e">
        <f>K17/K15</f>
        <v>#REF!</v>
      </c>
      <c r="L18" s="99">
        <f>+H18-G18</f>
        <v>-0.06213578218679336</v>
      </c>
    </row>
    <row r="19" spans="1:12" s="4" customFormat="1" ht="23.25" customHeight="1">
      <c r="A19" s="54">
        <v>1</v>
      </c>
      <c r="B19" s="55" t="s">
        <v>16</v>
      </c>
      <c r="C19" s="47">
        <v>0</v>
      </c>
      <c r="D19" s="47"/>
      <c r="E19" s="48"/>
      <c r="F19" s="47"/>
      <c r="G19" s="47"/>
      <c r="H19" s="49"/>
      <c r="I19" s="56"/>
      <c r="J19" s="56"/>
      <c r="K19" s="56"/>
      <c r="L19" s="49"/>
    </row>
    <row r="20" spans="1:12" s="4" customFormat="1" ht="23.25" customHeight="1">
      <c r="A20" s="54">
        <v>2</v>
      </c>
      <c r="B20" s="55" t="s">
        <v>9</v>
      </c>
      <c r="C20" s="51"/>
      <c r="D20" s="52"/>
      <c r="E20" s="52"/>
      <c r="F20" s="47"/>
      <c r="G20" s="47">
        <v>16799</v>
      </c>
      <c r="H20" s="49">
        <f>G54</f>
        <v>90830</v>
      </c>
      <c r="I20" s="49">
        <f>+H54</f>
        <v>127046</v>
      </c>
      <c r="J20" s="49" t="e">
        <f>+I54</f>
        <v>#REF!</v>
      </c>
      <c r="K20" s="49" t="e">
        <f>+J54</f>
        <v>#REF!</v>
      </c>
      <c r="L20" s="49">
        <f>+H20-G20</f>
        <v>74031</v>
      </c>
    </row>
    <row r="21" spans="1:12" s="4" customFormat="1" ht="23.25" customHeight="1">
      <c r="A21" s="54">
        <v>3</v>
      </c>
      <c r="B21" s="57" t="s">
        <v>104</v>
      </c>
      <c r="C21" s="47">
        <f aca="true" t="shared" si="3" ref="C21:I21">SUM(C22:C23)</f>
        <v>827353</v>
      </c>
      <c r="D21" s="47">
        <f t="shared" si="3"/>
        <v>705970</v>
      </c>
      <c r="E21" s="47">
        <f t="shared" si="3"/>
        <v>705970</v>
      </c>
      <c r="F21" s="47" t="e">
        <f t="shared" si="3"/>
        <v>#REF!</v>
      </c>
      <c r="G21" s="47">
        <v>260631</v>
      </c>
      <c r="H21" s="49">
        <f t="shared" si="3"/>
        <v>121792</v>
      </c>
      <c r="I21" s="49">
        <f t="shared" si="3"/>
        <v>41792</v>
      </c>
      <c r="J21" s="49">
        <f>SUM(J22:J23)</f>
        <v>-48267</v>
      </c>
      <c r="K21" s="49">
        <f>SUM(K22:K23)</f>
        <v>-138326</v>
      </c>
      <c r="L21" s="49">
        <f>+H21-G21</f>
        <v>-138839</v>
      </c>
    </row>
    <row r="22" spans="1:12" s="76" customFormat="1" ht="18.75" hidden="1">
      <c r="A22" s="72" t="s">
        <v>14</v>
      </c>
      <c r="B22" s="73" t="s">
        <v>84</v>
      </c>
      <c r="C22" s="74">
        <v>389258</v>
      </c>
      <c r="D22" s="74">
        <v>314323</v>
      </c>
      <c r="E22" s="74">
        <v>314323</v>
      </c>
      <c r="F22" s="74" t="e">
        <f aca="true" t="shared" si="4" ref="F22:K23">E56</f>
        <v>#REF!</v>
      </c>
      <c r="G22" s="75">
        <v>37702</v>
      </c>
      <c r="H22" s="75">
        <f>G56</f>
        <v>0</v>
      </c>
      <c r="I22" s="75">
        <f t="shared" si="4"/>
        <v>0</v>
      </c>
      <c r="J22" s="75">
        <f t="shared" si="4"/>
        <v>-37702</v>
      </c>
      <c r="K22" s="75">
        <f t="shared" si="4"/>
        <v>-37702</v>
      </c>
      <c r="L22" s="75">
        <f>+H22-G22</f>
        <v>-37702</v>
      </c>
    </row>
    <row r="23" spans="1:12" s="76" customFormat="1" ht="23.25" customHeight="1" hidden="1">
      <c r="A23" s="72" t="s">
        <v>14</v>
      </c>
      <c r="B23" s="73" t="s">
        <v>8</v>
      </c>
      <c r="C23" s="74">
        <f>438095</f>
        <v>438095</v>
      </c>
      <c r="D23" s="74">
        <v>391647</v>
      </c>
      <c r="E23" s="74">
        <v>391647</v>
      </c>
      <c r="F23" s="74" t="e">
        <f t="shared" si="4"/>
        <v>#REF!</v>
      </c>
      <c r="G23" s="75">
        <v>222929</v>
      </c>
      <c r="H23" s="75">
        <f>G57</f>
        <v>121792</v>
      </c>
      <c r="I23" s="75">
        <f t="shared" si="4"/>
        <v>41792</v>
      </c>
      <c r="J23" s="75">
        <f t="shared" si="4"/>
        <v>-10565</v>
      </c>
      <c r="K23" s="75">
        <f t="shared" si="4"/>
        <v>-100624</v>
      </c>
      <c r="L23" s="75">
        <f>+H23-G23</f>
        <v>-101137</v>
      </c>
    </row>
    <row r="24" spans="1:12" s="8" customFormat="1" ht="23.25" customHeight="1">
      <c r="A24" s="39" t="s">
        <v>10</v>
      </c>
      <c r="B24" s="40" t="s">
        <v>12</v>
      </c>
      <c r="C24" s="41" t="e">
        <f aca="true" t="shared" si="5" ref="C24:I24">C29</f>
        <v>#REF!</v>
      </c>
      <c r="D24" s="41">
        <f t="shared" si="5"/>
        <v>264970</v>
      </c>
      <c r="E24" s="45">
        <f>E29</f>
        <v>174970</v>
      </c>
      <c r="F24" s="41">
        <f t="shared" si="5"/>
        <v>151450</v>
      </c>
      <c r="G24" s="44">
        <f>G29</f>
        <v>138839</v>
      </c>
      <c r="H24" s="44">
        <f>H25</f>
        <v>88100</v>
      </c>
      <c r="I24" s="44">
        <f t="shared" si="5"/>
        <v>90059</v>
      </c>
      <c r="J24" s="44">
        <f>J29</f>
        <v>90059</v>
      </c>
      <c r="K24" s="44">
        <f>K29</f>
        <v>0</v>
      </c>
      <c r="L24" s="44">
        <f>+H24-G24</f>
        <v>-50739</v>
      </c>
    </row>
    <row r="25" spans="1:12" s="4" customFormat="1" ht="23.25" customHeight="1">
      <c r="A25" s="39">
        <v>1</v>
      </c>
      <c r="B25" s="40" t="s">
        <v>13</v>
      </c>
      <c r="C25" s="47"/>
      <c r="D25" s="47"/>
      <c r="E25" s="48"/>
      <c r="F25" s="47"/>
      <c r="G25" s="44">
        <f aca="true" t="shared" si="6" ref="G25:L25">G26+G27+G28</f>
        <v>138839</v>
      </c>
      <c r="H25" s="44">
        <f t="shared" si="6"/>
        <v>88100</v>
      </c>
      <c r="I25" s="44">
        <f t="shared" si="6"/>
        <v>90059</v>
      </c>
      <c r="J25" s="44">
        <f t="shared" si="6"/>
        <v>90059</v>
      </c>
      <c r="K25" s="44">
        <f t="shared" si="6"/>
        <v>0</v>
      </c>
      <c r="L25" s="44">
        <f t="shared" si="6"/>
        <v>-50739</v>
      </c>
    </row>
    <row r="26" spans="1:12" s="4" customFormat="1" ht="23.25" customHeight="1">
      <c r="A26" s="39" t="s">
        <v>14</v>
      </c>
      <c r="B26" s="55" t="s">
        <v>16</v>
      </c>
      <c r="C26" s="47"/>
      <c r="D26" s="47"/>
      <c r="E26" s="48"/>
      <c r="F26" s="47"/>
      <c r="G26" s="49"/>
      <c r="H26" s="49"/>
      <c r="I26" s="49"/>
      <c r="J26" s="49"/>
      <c r="K26" s="49"/>
      <c r="L26" s="44"/>
    </row>
    <row r="27" spans="1:12" s="4" customFormat="1" ht="23.25" customHeight="1">
      <c r="A27" s="60" t="s">
        <v>14</v>
      </c>
      <c r="B27" s="55" t="s">
        <v>9</v>
      </c>
      <c r="C27" s="47"/>
      <c r="D27" s="47"/>
      <c r="E27" s="48"/>
      <c r="F27" s="47"/>
      <c r="G27" s="49"/>
      <c r="H27" s="49">
        <f>1300+1300+5500</f>
        <v>8100</v>
      </c>
      <c r="I27" s="49"/>
      <c r="J27" s="49"/>
      <c r="K27" s="49"/>
      <c r="L27" s="49">
        <f>H27-G27</f>
        <v>8100</v>
      </c>
    </row>
    <row r="28" spans="1:12" s="4" customFormat="1" ht="23.25" customHeight="1">
      <c r="A28" s="60" t="s">
        <v>14</v>
      </c>
      <c r="B28" s="55" t="s">
        <v>99</v>
      </c>
      <c r="C28" s="47"/>
      <c r="D28" s="47"/>
      <c r="E28" s="48"/>
      <c r="F28" s="47"/>
      <c r="G28" s="49">
        <f>G29</f>
        <v>138839</v>
      </c>
      <c r="H28" s="49">
        <f>H29</f>
        <v>80000</v>
      </c>
      <c r="I28" s="49">
        <f>I29</f>
        <v>90059</v>
      </c>
      <c r="J28" s="49">
        <f>J29</f>
        <v>90059</v>
      </c>
      <c r="K28" s="49">
        <f>K29</f>
        <v>0</v>
      </c>
      <c r="L28" s="49">
        <f>H28-G28</f>
        <v>-58839</v>
      </c>
    </row>
    <row r="29" spans="1:14" s="81" customFormat="1" ht="23.25" customHeight="1" hidden="1">
      <c r="A29" s="77" t="s">
        <v>14</v>
      </c>
      <c r="B29" s="78" t="s">
        <v>67</v>
      </c>
      <c r="C29" s="79" t="e">
        <f>C30+C31+#REF!</f>
        <v>#REF!</v>
      </c>
      <c r="D29" s="79">
        <f aca="true" t="shared" si="7" ref="D29:J29">D30+D31</f>
        <v>264970</v>
      </c>
      <c r="E29" s="79">
        <f t="shared" si="7"/>
        <v>174970</v>
      </c>
      <c r="F29" s="79">
        <f t="shared" si="7"/>
        <v>151450</v>
      </c>
      <c r="G29" s="80">
        <f>G30+G31</f>
        <v>138839</v>
      </c>
      <c r="H29" s="80">
        <f t="shared" si="7"/>
        <v>80000</v>
      </c>
      <c r="I29" s="80">
        <f t="shared" si="7"/>
        <v>90059</v>
      </c>
      <c r="J29" s="80">
        <f t="shared" si="7"/>
        <v>90059</v>
      </c>
      <c r="K29" s="80">
        <f>K30+K31</f>
        <v>0</v>
      </c>
      <c r="L29" s="80">
        <f>+H29-G29</f>
        <v>-58839</v>
      </c>
      <c r="N29" s="82"/>
    </row>
    <row r="30" spans="1:14" s="76" customFormat="1" ht="18.75" hidden="1">
      <c r="A30" s="72" t="s">
        <v>15</v>
      </c>
      <c r="B30" s="83" t="s">
        <v>110</v>
      </c>
      <c r="C30" s="75">
        <v>97935</v>
      </c>
      <c r="D30" s="75">
        <v>124350</v>
      </c>
      <c r="E30" s="75">
        <v>124350</v>
      </c>
      <c r="F30" s="74">
        <v>91450</v>
      </c>
      <c r="G30" s="75">
        <v>37702</v>
      </c>
      <c r="H30" s="75">
        <f>+G56</f>
        <v>0</v>
      </c>
      <c r="I30" s="75">
        <v>37702</v>
      </c>
      <c r="J30" s="75">
        <v>0</v>
      </c>
      <c r="K30" s="75">
        <v>0</v>
      </c>
      <c r="L30" s="75">
        <f>+H30-G30</f>
        <v>-37702</v>
      </c>
      <c r="N30" s="76">
        <v>52472</v>
      </c>
    </row>
    <row r="31" spans="1:12" s="76" customFormat="1" ht="23.25" customHeight="1" hidden="1">
      <c r="A31" s="72" t="s">
        <v>15</v>
      </c>
      <c r="B31" s="73" t="s">
        <v>8</v>
      </c>
      <c r="C31" s="75">
        <v>46448</v>
      </c>
      <c r="D31" s="75">
        <v>140620</v>
      </c>
      <c r="E31" s="75">
        <v>50620</v>
      </c>
      <c r="F31" s="74">
        <v>60000</v>
      </c>
      <c r="G31" s="75">
        <v>101137</v>
      </c>
      <c r="H31" s="75">
        <v>80000</v>
      </c>
      <c r="I31" s="75">
        <f>52357</f>
        <v>52357</v>
      </c>
      <c r="J31" s="75">
        <v>90059</v>
      </c>
      <c r="K31" s="75">
        <v>0</v>
      </c>
      <c r="L31" s="75">
        <f>+H31-G31</f>
        <v>-21137</v>
      </c>
    </row>
    <row r="32" spans="1:12" s="8" customFormat="1" ht="23.25" customHeight="1">
      <c r="A32" s="39">
        <v>2</v>
      </c>
      <c r="B32" s="40" t="s">
        <v>101</v>
      </c>
      <c r="C32" s="41"/>
      <c r="D32" s="41" t="e">
        <f>D33+D34+D35+D38+#REF!</f>
        <v>#REF!</v>
      </c>
      <c r="E32" s="41" t="e">
        <f>E33+E34+E35+E38+#REF!</f>
        <v>#REF!</v>
      </c>
      <c r="F32" s="41" t="e">
        <f>F33+F34+F35+F38+#REF!</f>
        <v>#REF!</v>
      </c>
      <c r="G32" s="44">
        <f>G37</f>
        <v>138839</v>
      </c>
      <c r="H32" s="44">
        <f>H37</f>
        <v>88100</v>
      </c>
      <c r="I32" s="44" t="e">
        <f>I33+I34+I35+I38+#REF!</f>
        <v>#REF!</v>
      </c>
      <c r="J32" s="44" t="e">
        <f>J33+J34+J35+J38+#REF!</f>
        <v>#REF!</v>
      </c>
      <c r="K32" s="44" t="e">
        <f>K33+K34+K35+K38+#REF!</f>
        <v>#REF!</v>
      </c>
      <c r="L32" s="44">
        <f>+H32-G32</f>
        <v>-50739</v>
      </c>
    </row>
    <row r="33" spans="1:12" s="8" customFormat="1" ht="23.25" customHeight="1">
      <c r="A33" s="60" t="s">
        <v>14</v>
      </c>
      <c r="B33" s="55" t="s">
        <v>57</v>
      </c>
      <c r="C33" s="41"/>
      <c r="D33" s="41"/>
      <c r="E33" s="41"/>
      <c r="F33" s="41"/>
      <c r="G33" s="49"/>
      <c r="H33" s="49"/>
      <c r="I33" s="49"/>
      <c r="J33" s="49"/>
      <c r="K33" s="49"/>
      <c r="L33" s="49"/>
    </row>
    <row r="34" spans="1:12" s="8" customFormat="1" ht="23.25" customHeight="1">
      <c r="A34" s="60" t="s">
        <v>14</v>
      </c>
      <c r="B34" s="55" t="s">
        <v>58</v>
      </c>
      <c r="C34" s="41"/>
      <c r="D34" s="41"/>
      <c r="E34" s="47">
        <v>11320</v>
      </c>
      <c r="F34" s="47">
        <v>93500</v>
      </c>
      <c r="G34" s="49"/>
      <c r="H34" s="49"/>
      <c r="I34" s="49">
        <v>37702</v>
      </c>
      <c r="J34" s="49">
        <v>14917</v>
      </c>
      <c r="K34" s="49"/>
      <c r="L34" s="49">
        <f>+H34-G34</f>
        <v>0</v>
      </c>
    </row>
    <row r="35" spans="1:12" s="8" customFormat="1" ht="23.25" customHeight="1">
      <c r="A35" s="60" t="s">
        <v>14</v>
      </c>
      <c r="B35" s="55" t="s">
        <v>107</v>
      </c>
      <c r="C35" s="41"/>
      <c r="D35" s="41"/>
      <c r="E35" s="41"/>
      <c r="F35" s="41"/>
      <c r="G35" s="49"/>
      <c r="H35" s="49"/>
      <c r="I35" s="44"/>
      <c r="J35" s="44"/>
      <c r="K35" s="44"/>
      <c r="L35" s="49"/>
    </row>
    <row r="36" spans="1:12" s="8" customFormat="1" ht="23.25" customHeight="1">
      <c r="A36" s="60" t="s">
        <v>14</v>
      </c>
      <c r="B36" s="55" t="s">
        <v>100</v>
      </c>
      <c r="C36" s="41"/>
      <c r="D36" s="41"/>
      <c r="E36" s="41"/>
      <c r="F36" s="41"/>
      <c r="G36" s="49"/>
      <c r="H36" s="49"/>
      <c r="I36" s="44"/>
      <c r="J36" s="44"/>
      <c r="K36" s="44"/>
      <c r="L36" s="49"/>
    </row>
    <row r="37" spans="1:12" s="8" customFormat="1" ht="23.25" customHeight="1">
      <c r="A37" s="60" t="s">
        <v>14</v>
      </c>
      <c r="B37" s="55" t="s">
        <v>102</v>
      </c>
      <c r="C37" s="41"/>
      <c r="D37" s="41"/>
      <c r="E37" s="41"/>
      <c r="F37" s="41"/>
      <c r="G37" s="49">
        <f>G38+G39</f>
        <v>138839</v>
      </c>
      <c r="H37" s="49">
        <v>88100</v>
      </c>
      <c r="I37" s="44"/>
      <c r="J37" s="44"/>
      <c r="K37" s="44"/>
      <c r="L37" s="49">
        <f>+H37-G37</f>
        <v>-50739</v>
      </c>
    </row>
    <row r="38" spans="1:12" s="88" customFormat="1" ht="23.25" customHeight="1" hidden="1">
      <c r="A38" s="77" t="s">
        <v>14</v>
      </c>
      <c r="B38" s="86" t="s">
        <v>66</v>
      </c>
      <c r="C38" s="87"/>
      <c r="D38" s="79" t="e">
        <f>#REF!+#REF!</f>
        <v>#REF!</v>
      </c>
      <c r="E38" s="79" t="e">
        <f>#REF!+#REF!</f>
        <v>#REF!</v>
      </c>
      <c r="F38" s="79"/>
      <c r="G38" s="80">
        <v>37702</v>
      </c>
      <c r="H38" s="80"/>
      <c r="I38" s="80" t="e">
        <f>+#REF!+#REF!</f>
        <v>#REF!</v>
      </c>
      <c r="J38" s="80" t="e">
        <f>+#REF!+#REF!</f>
        <v>#REF!</v>
      </c>
      <c r="K38" s="80" t="e">
        <f>+#REF!+#REF!</f>
        <v>#REF!</v>
      </c>
      <c r="L38" s="80"/>
    </row>
    <row r="39" spans="1:12" s="76" customFormat="1" ht="20.25" customHeight="1" hidden="1">
      <c r="A39" s="84" t="s">
        <v>14</v>
      </c>
      <c r="B39" s="78" t="s">
        <v>103</v>
      </c>
      <c r="C39" s="74"/>
      <c r="D39" s="74"/>
      <c r="E39" s="74"/>
      <c r="F39" s="74"/>
      <c r="G39" s="75">
        <v>101137</v>
      </c>
      <c r="H39" s="75">
        <v>80000</v>
      </c>
      <c r="I39" s="75"/>
      <c r="J39" s="75"/>
      <c r="K39" s="75"/>
      <c r="L39" s="75"/>
    </row>
    <row r="40" spans="1:12" s="76" customFormat="1" ht="20.25" customHeight="1" hidden="1">
      <c r="A40" s="84"/>
      <c r="B40" s="78" t="s">
        <v>9</v>
      </c>
      <c r="C40" s="74"/>
      <c r="D40" s="74"/>
      <c r="E40" s="74"/>
      <c r="F40" s="74"/>
      <c r="G40" s="75"/>
      <c r="H40" s="75">
        <v>1300</v>
      </c>
      <c r="I40" s="75"/>
      <c r="J40" s="75"/>
      <c r="K40" s="75"/>
      <c r="L40" s="75"/>
    </row>
    <row r="41" spans="1:12" s="4" customFormat="1" ht="23.25" customHeight="1">
      <c r="A41" s="60" t="s">
        <v>11</v>
      </c>
      <c r="B41" s="40" t="s">
        <v>108</v>
      </c>
      <c r="C41" s="47"/>
      <c r="D41" s="41">
        <f aca="true" t="shared" si="8" ref="D41:J41">D45</f>
        <v>253660</v>
      </c>
      <c r="E41" s="41">
        <f t="shared" si="8"/>
        <v>0</v>
      </c>
      <c r="F41" s="41">
        <f t="shared" si="8"/>
        <v>5969</v>
      </c>
      <c r="G41" s="44">
        <f>G45</f>
        <v>74031</v>
      </c>
      <c r="H41" s="44">
        <f t="shared" si="8"/>
        <v>44316</v>
      </c>
      <c r="I41" s="44" t="e">
        <f t="shared" si="8"/>
        <v>#REF!</v>
      </c>
      <c r="J41" s="44" t="e">
        <f t="shared" si="8"/>
        <v>#REF!</v>
      </c>
      <c r="K41" s="44">
        <f>K45</f>
        <v>0</v>
      </c>
      <c r="L41" s="44">
        <f>+H41-G41</f>
        <v>-29715</v>
      </c>
    </row>
    <row r="42" spans="1:12" s="8" customFormat="1" ht="23.25" customHeight="1">
      <c r="A42" s="60">
        <v>1</v>
      </c>
      <c r="B42" s="40" t="s">
        <v>59</v>
      </c>
      <c r="C42" s="41"/>
      <c r="D42" s="41">
        <f aca="true" t="shared" si="9" ref="D42:J42">D43+D44</f>
        <v>253660</v>
      </c>
      <c r="E42" s="41">
        <f t="shared" si="9"/>
        <v>0</v>
      </c>
      <c r="F42" s="41">
        <f t="shared" si="9"/>
        <v>5969</v>
      </c>
      <c r="G42" s="44">
        <f>G43+G44</f>
        <v>74031</v>
      </c>
      <c r="H42" s="44">
        <f t="shared" si="9"/>
        <v>44316</v>
      </c>
      <c r="I42" s="44" t="e">
        <f t="shared" si="9"/>
        <v>#REF!</v>
      </c>
      <c r="J42" s="44" t="e">
        <f t="shared" si="9"/>
        <v>#REF!</v>
      </c>
      <c r="K42" s="44">
        <f>K43+K44</f>
        <v>0</v>
      </c>
      <c r="L42" s="44">
        <f>+H42-G42</f>
        <v>-29715</v>
      </c>
    </row>
    <row r="43" spans="1:12" s="4" customFormat="1" ht="23.25" customHeight="1">
      <c r="A43" s="60" t="s">
        <v>14</v>
      </c>
      <c r="B43" s="55" t="s">
        <v>60</v>
      </c>
      <c r="C43" s="47"/>
      <c r="D43" s="47">
        <v>253660</v>
      </c>
      <c r="E43" s="48"/>
      <c r="F43" s="48">
        <v>5969</v>
      </c>
      <c r="G43" s="149">
        <v>74031</v>
      </c>
      <c r="H43" s="149">
        <v>44316</v>
      </c>
      <c r="I43" s="59" t="e">
        <f>I47</f>
        <v>#REF!</v>
      </c>
      <c r="J43" s="59" t="e">
        <f>J47</f>
        <v>#REF!</v>
      </c>
      <c r="K43" s="59">
        <f>K47</f>
        <v>0</v>
      </c>
      <c r="L43" s="59">
        <f>+H43-G43</f>
        <v>-29715</v>
      </c>
    </row>
    <row r="44" spans="1:12" s="4" customFormat="1" ht="23.25" customHeight="1">
      <c r="A44" s="60" t="s">
        <v>14</v>
      </c>
      <c r="B44" s="55" t="s">
        <v>61</v>
      </c>
      <c r="C44" s="47"/>
      <c r="D44" s="47"/>
      <c r="E44" s="48"/>
      <c r="F44" s="48"/>
      <c r="G44" s="149"/>
      <c r="H44" s="149"/>
      <c r="I44" s="59"/>
      <c r="J44" s="59"/>
      <c r="K44" s="59"/>
      <c r="L44" s="59"/>
    </row>
    <row r="45" spans="1:12" s="4" customFormat="1" ht="23.25" customHeight="1">
      <c r="A45" s="60">
        <v>2</v>
      </c>
      <c r="B45" s="40" t="s">
        <v>62</v>
      </c>
      <c r="C45" s="47"/>
      <c r="D45" s="41">
        <f aca="true" t="shared" si="10" ref="D45:J45">SUM(D46:D48)</f>
        <v>253660</v>
      </c>
      <c r="E45" s="41">
        <f t="shared" si="10"/>
        <v>0</v>
      </c>
      <c r="F45" s="41">
        <f t="shared" si="10"/>
        <v>5969</v>
      </c>
      <c r="G45" s="43">
        <f>SUM(G46:G48)</f>
        <v>74031</v>
      </c>
      <c r="H45" s="43">
        <f t="shared" si="10"/>
        <v>44316</v>
      </c>
      <c r="I45" s="44" t="e">
        <f t="shared" si="10"/>
        <v>#REF!</v>
      </c>
      <c r="J45" s="44" t="e">
        <f t="shared" si="10"/>
        <v>#REF!</v>
      </c>
      <c r="K45" s="44">
        <f>SUM(K46:K48)</f>
        <v>0</v>
      </c>
      <c r="L45" s="44">
        <f>+H45-G45</f>
        <v>-29715</v>
      </c>
    </row>
    <row r="46" spans="1:12" s="4" customFormat="1" ht="23.25" customHeight="1">
      <c r="A46" s="60" t="s">
        <v>14</v>
      </c>
      <c r="B46" s="55" t="s">
        <v>16</v>
      </c>
      <c r="C46" s="47"/>
      <c r="D46" s="47"/>
      <c r="E46" s="48"/>
      <c r="F46" s="48"/>
      <c r="G46" s="149"/>
      <c r="H46" s="149"/>
      <c r="I46" s="59"/>
      <c r="J46" s="59"/>
      <c r="K46" s="59"/>
      <c r="L46" s="59"/>
    </row>
    <row r="47" spans="1:12" s="4" customFormat="1" ht="23.25" customHeight="1">
      <c r="A47" s="60" t="s">
        <v>14</v>
      </c>
      <c r="B47" s="55" t="s">
        <v>9</v>
      </c>
      <c r="C47" s="47"/>
      <c r="D47" s="47">
        <v>9890</v>
      </c>
      <c r="E47" s="48"/>
      <c r="F47" s="48">
        <v>5969</v>
      </c>
      <c r="G47" s="149">
        <v>74031</v>
      </c>
      <c r="H47" s="149">
        <v>44316</v>
      </c>
      <c r="I47" s="59" t="e">
        <f>+#REF!</f>
        <v>#REF!</v>
      </c>
      <c r="J47" s="59" t="e">
        <f>+#REF!</f>
        <v>#REF!</v>
      </c>
      <c r="K47" s="59"/>
      <c r="L47" s="59">
        <f>+H47-G47</f>
        <v>-29715</v>
      </c>
    </row>
    <row r="48" spans="1:12" s="4" customFormat="1" ht="23.25" customHeight="1">
      <c r="A48" s="60" t="s">
        <v>14</v>
      </c>
      <c r="B48" s="57" t="s">
        <v>104</v>
      </c>
      <c r="C48" s="47"/>
      <c r="D48" s="47">
        <f>D49+D50</f>
        <v>243770</v>
      </c>
      <c r="E48" s="47"/>
      <c r="F48" s="48"/>
      <c r="G48" s="59"/>
      <c r="H48" s="59"/>
      <c r="I48" s="59"/>
      <c r="J48" s="59"/>
      <c r="K48" s="59"/>
      <c r="L48" s="59"/>
    </row>
    <row r="49" spans="1:12" s="76" customFormat="1" ht="19.5" hidden="1">
      <c r="A49" s="84" t="s">
        <v>15</v>
      </c>
      <c r="B49" s="73" t="s">
        <v>84</v>
      </c>
      <c r="C49" s="74"/>
      <c r="D49" s="74">
        <v>243770</v>
      </c>
      <c r="E49" s="74"/>
      <c r="F49" s="74"/>
      <c r="G49" s="75"/>
      <c r="H49" s="75"/>
      <c r="I49" s="75"/>
      <c r="J49" s="75"/>
      <c r="K49" s="75"/>
      <c r="L49" s="75"/>
    </row>
    <row r="50" spans="1:12" s="76" customFormat="1" ht="23.25" customHeight="1" hidden="1">
      <c r="A50" s="84" t="s">
        <v>15</v>
      </c>
      <c r="B50" s="73" t="s">
        <v>8</v>
      </c>
      <c r="C50" s="74"/>
      <c r="D50" s="74"/>
      <c r="E50" s="74"/>
      <c r="F50" s="74"/>
      <c r="G50" s="75"/>
      <c r="H50" s="75"/>
      <c r="I50" s="75"/>
      <c r="J50" s="75"/>
      <c r="K50" s="75"/>
      <c r="L50" s="75"/>
    </row>
    <row r="51" spans="1:12" s="4" customFormat="1" ht="23.25" customHeight="1">
      <c r="A51" s="39" t="s">
        <v>17</v>
      </c>
      <c r="B51" s="40" t="s">
        <v>18</v>
      </c>
      <c r="C51" s="63" t="e">
        <f>#REF!+#REF!+#REF!</f>
        <v>#REF!</v>
      </c>
      <c r="D51" s="63" t="e">
        <f aca="true" t="shared" si="11" ref="D51:J51">D53+D54+D55</f>
        <v>#REF!</v>
      </c>
      <c r="E51" s="63" t="e">
        <f t="shared" si="11"/>
        <v>#REF!</v>
      </c>
      <c r="F51" s="63" t="e">
        <f t="shared" si="11"/>
        <v>#REF!</v>
      </c>
      <c r="G51" s="44">
        <f>G53+G54+G55</f>
        <v>212622</v>
      </c>
      <c r="H51" s="44">
        <f t="shared" si="11"/>
        <v>168838</v>
      </c>
      <c r="I51" s="44" t="e">
        <f t="shared" si="11"/>
        <v>#REF!</v>
      </c>
      <c r="J51" s="44" t="e">
        <f t="shared" si="11"/>
        <v>#REF!</v>
      </c>
      <c r="K51" s="44" t="e">
        <f>K53+K54+K55</f>
        <v>#REF!</v>
      </c>
      <c r="L51" s="44">
        <f>+H51-G51</f>
        <v>-43784</v>
      </c>
    </row>
    <row r="52" spans="1:12" s="5" customFormat="1" ht="18.75">
      <c r="A52" s="58"/>
      <c r="B52" s="50" t="s">
        <v>85</v>
      </c>
      <c r="C52" s="51" t="e">
        <f aca="true" t="shared" si="12" ref="C52:K52">C51/C15</f>
        <v>#REF!</v>
      </c>
      <c r="D52" s="52" t="e">
        <f t="shared" si="12"/>
        <v>#REF!</v>
      </c>
      <c r="E52" s="52" t="e">
        <f t="shared" si="12"/>
        <v>#REF!</v>
      </c>
      <c r="F52" s="52" t="e">
        <f t="shared" si="12"/>
        <v>#REF!</v>
      </c>
      <c r="G52" s="99">
        <f t="shared" si="12"/>
        <v>0.1674569776182174</v>
      </c>
      <c r="H52" s="99">
        <f>H51/H15</f>
        <v>0.14014243500780238</v>
      </c>
      <c r="I52" s="53" t="e">
        <f t="shared" si="12"/>
        <v>#REF!</v>
      </c>
      <c r="J52" s="53" t="e">
        <f t="shared" si="12"/>
        <v>#REF!</v>
      </c>
      <c r="K52" s="53" t="e">
        <f t="shared" si="12"/>
        <v>#REF!</v>
      </c>
      <c r="L52" s="99">
        <f>+H52-G52</f>
        <v>-0.02731454261041502</v>
      </c>
    </row>
    <row r="53" spans="1:12" s="5" customFormat="1" ht="23.25" customHeight="1">
      <c r="A53" s="54">
        <v>1</v>
      </c>
      <c r="B53" s="55" t="s">
        <v>16</v>
      </c>
      <c r="C53" s="51"/>
      <c r="D53" s="47"/>
      <c r="E53" s="47"/>
      <c r="F53" s="63"/>
      <c r="G53" s="64"/>
      <c r="H53" s="64"/>
      <c r="I53" s="64"/>
      <c r="J53" s="64"/>
      <c r="K53" s="64"/>
      <c r="L53" s="49"/>
    </row>
    <row r="54" spans="1:12" s="5" customFormat="1" ht="23.25" customHeight="1">
      <c r="A54" s="58">
        <v>2</v>
      </c>
      <c r="B54" s="55" t="s">
        <v>9</v>
      </c>
      <c r="C54" s="51"/>
      <c r="D54" s="47">
        <f aca="true" t="shared" si="13" ref="D54:K54">D20+D47-D27</f>
        <v>9890</v>
      </c>
      <c r="E54" s="47">
        <f t="shared" si="13"/>
        <v>0</v>
      </c>
      <c r="F54" s="47">
        <f t="shared" si="13"/>
        <v>5969</v>
      </c>
      <c r="G54" s="49">
        <f>G20+G47-G27</f>
        <v>90830</v>
      </c>
      <c r="H54" s="49">
        <f>H20+H47-H27</f>
        <v>127046</v>
      </c>
      <c r="I54" s="49" t="e">
        <f t="shared" si="13"/>
        <v>#REF!</v>
      </c>
      <c r="J54" s="49" t="e">
        <f t="shared" si="13"/>
        <v>#REF!</v>
      </c>
      <c r="K54" s="49" t="e">
        <f t="shared" si="13"/>
        <v>#REF!</v>
      </c>
      <c r="L54" s="49">
        <f>+H54-G54</f>
        <v>36216</v>
      </c>
    </row>
    <row r="55" spans="1:12" s="5" customFormat="1" ht="23.25" customHeight="1">
      <c r="A55" s="58">
        <v>3</v>
      </c>
      <c r="B55" s="55" t="s">
        <v>99</v>
      </c>
      <c r="C55" s="51"/>
      <c r="D55" s="47" t="e">
        <f aca="true" t="shared" si="14" ref="D55:J55">D56+D57</f>
        <v>#REF!</v>
      </c>
      <c r="E55" s="47" t="e">
        <f t="shared" si="14"/>
        <v>#REF!</v>
      </c>
      <c r="F55" s="47" t="e">
        <f t="shared" si="14"/>
        <v>#REF!</v>
      </c>
      <c r="G55" s="49">
        <f>G56+G57</f>
        <v>121792</v>
      </c>
      <c r="H55" s="49">
        <f>H56+H57</f>
        <v>41792</v>
      </c>
      <c r="I55" s="49">
        <f t="shared" si="14"/>
        <v>-48267</v>
      </c>
      <c r="J55" s="49">
        <f t="shared" si="14"/>
        <v>-138326</v>
      </c>
      <c r="K55" s="49">
        <f>K56+K57</f>
        <v>-138326</v>
      </c>
      <c r="L55" s="49">
        <f>+H55-G55</f>
        <v>-80000</v>
      </c>
    </row>
    <row r="56" spans="1:12" s="76" customFormat="1" ht="18.75" hidden="1">
      <c r="A56" s="72" t="s">
        <v>14</v>
      </c>
      <c r="B56" s="40" t="s">
        <v>84</v>
      </c>
      <c r="C56" s="85"/>
      <c r="D56" s="74" t="e">
        <f>D22+D49-D38</f>
        <v>#REF!</v>
      </c>
      <c r="E56" s="74" t="e">
        <f>E22+E49-E38</f>
        <v>#REF!</v>
      </c>
      <c r="F56" s="74" t="e">
        <f aca="true" t="shared" si="15" ref="F56:K56">F22+F49-F30</f>
        <v>#REF!</v>
      </c>
      <c r="G56" s="75">
        <f t="shared" si="15"/>
        <v>0</v>
      </c>
      <c r="H56" s="75">
        <f t="shared" si="15"/>
        <v>0</v>
      </c>
      <c r="I56" s="75">
        <f t="shared" si="15"/>
        <v>-37702</v>
      </c>
      <c r="J56" s="75">
        <f t="shared" si="15"/>
        <v>-37702</v>
      </c>
      <c r="K56" s="75">
        <f t="shared" si="15"/>
        <v>-37702</v>
      </c>
      <c r="L56" s="75">
        <f>+H56-G56</f>
        <v>0</v>
      </c>
    </row>
    <row r="57" spans="1:12" s="76" customFormat="1" ht="23.25" customHeight="1" hidden="1">
      <c r="A57" s="72" t="s">
        <v>14</v>
      </c>
      <c r="B57" s="40" t="s">
        <v>8</v>
      </c>
      <c r="C57" s="85"/>
      <c r="D57" s="74" t="e">
        <f>D23+D50-#REF!</f>
        <v>#REF!</v>
      </c>
      <c r="E57" s="74" t="e">
        <f>E23+E50-#REF!-11320</f>
        <v>#REF!</v>
      </c>
      <c r="F57" s="74" t="e">
        <f>F23+F50-F31</f>
        <v>#REF!</v>
      </c>
      <c r="G57" s="75">
        <f>G23-G31</f>
        <v>121792</v>
      </c>
      <c r="H57" s="75">
        <f>H23+H50-H31</f>
        <v>41792</v>
      </c>
      <c r="I57" s="75">
        <f>I23+I50-I31</f>
        <v>-10565</v>
      </c>
      <c r="J57" s="75">
        <f>J23+J50-J31</f>
        <v>-100624</v>
      </c>
      <c r="K57" s="75">
        <f>K23+K50-K31</f>
        <v>-100624</v>
      </c>
      <c r="L57" s="75">
        <f>+H57-G57</f>
        <v>-80000</v>
      </c>
    </row>
    <row r="58" spans="1:12" s="4" customFormat="1" ht="23.25" customHeight="1">
      <c r="A58" s="94" t="s">
        <v>64</v>
      </c>
      <c r="B58" s="95" t="s">
        <v>65</v>
      </c>
      <c r="C58" s="96">
        <f aca="true" t="shared" si="16" ref="C58:I58">SUM(C59:C61)</f>
        <v>712</v>
      </c>
      <c r="D58" s="96">
        <f t="shared" si="16"/>
        <v>198</v>
      </c>
      <c r="E58" s="97">
        <f t="shared" si="16"/>
        <v>0</v>
      </c>
      <c r="F58" s="96" t="e">
        <f t="shared" si="16"/>
        <v>#REF!</v>
      </c>
      <c r="G58" s="98">
        <v>6849</v>
      </c>
      <c r="H58" s="98">
        <f t="shared" si="16"/>
        <v>15400</v>
      </c>
      <c r="I58" s="98" t="e">
        <f t="shared" si="16"/>
        <v>#REF!</v>
      </c>
      <c r="J58" s="98" t="e">
        <f>SUM(J59:J61)</f>
        <v>#REF!</v>
      </c>
      <c r="K58" s="98" t="e">
        <f>SUM(K59:K61)</f>
        <v>#REF!</v>
      </c>
      <c r="L58" s="98">
        <f>+H58-G58</f>
        <v>8551</v>
      </c>
    </row>
    <row r="59" spans="1:12" s="4" customFormat="1" ht="23.25" customHeight="1" hidden="1">
      <c r="A59" s="89">
        <v>1</v>
      </c>
      <c r="B59" s="90" t="s">
        <v>16</v>
      </c>
      <c r="C59" s="91"/>
      <c r="D59" s="91"/>
      <c r="E59" s="92"/>
      <c r="F59" s="91"/>
      <c r="G59" s="93"/>
      <c r="H59" s="93"/>
      <c r="I59" s="93"/>
      <c r="J59" s="93"/>
      <c r="K59" s="93"/>
      <c r="L59" s="93"/>
    </row>
    <row r="60" spans="1:12" s="4" customFormat="1" ht="23.25" customHeight="1" hidden="1">
      <c r="A60" s="54">
        <v>2</v>
      </c>
      <c r="B60" s="55" t="s">
        <v>9</v>
      </c>
      <c r="C60" s="47">
        <v>712</v>
      </c>
      <c r="D60" s="47">
        <v>198</v>
      </c>
      <c r="E60" s="48">
        <v>0</v>
      </c>
      <c r="F60" s="47" t="e">
        <f>PL02!#REF!</f>
        <v>#REF!</v>
      </c>
      <c r="G60" s="155">
        <v>6849</v>
      </c>
      <c r="H60" s="49">
        <v>15400</v>
      </c>
      <c r="I60" s="49" t="e">
        <f>+#REF!</f>
        <v>#REF!</v>
      </c>
      <c r="J60" s="49" t="e">
        <f>+#REF!</f>
        <v>#REF!</v>
      </c>
      <c r="K60" s="49" t="e">
        <f>+#REF!</f>
        <v>#REF!</v>
      </c>
      <c r="L60" s="49">
        <f>+H60-G60</f>
        <v>8551</v>
      </c>
    </row>
    <row r="61" spans="1:12" s="4" customFormat="1" ht="23.25" customHeight="1" hidden="1">
      <c r="A61" s="65">
        <v>3</v>
      </c>
      <c r="B61" s="66" t="s">
        <v>130</v>
      </c>
      <c r="C61" s="67"/>
      <c r="D61" s="67"/>
      <c r="E61" s="68"/>
      <c r="F61" s="67"/>
      <c r="G61" s="69"/>
      <c r="H61" s="69"/>
      <c r="I61" s="69"/>
      <c r="J61" s="69"/>
      <c r="K61" s="69"/>
      <c r="L61" s="70"/>
    </row>
    <row r="62" spans="1:12" ht="66" customHeight="1">
      <c r="A62" s="163" t="s">
        <v>109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</row>
    <row r="63" ht="15.75" hidden="1">
      <c r="G63" s="25" t="s">
        <v>78</v>
      </c>
    </row>
    <row r="64" spans="2:7" ht="15.75" hidden="1">
      <c r="B64" s="10" t="s">
        <v>72</v>
      </c>
      <c r="G64" s="10" t="s">
        <v>74</v>
      </c>
    </row>
    <row r="65" spans="2:7" ht="15.75" hidden="1">
      <c r="B65" s="10"/>
      <c r="G65" s="10"/>
    </row>
    <row r="66" spans="2:7" ht="15.75" hidden="1">
      <c r="B66" s="10"/>
      <c r="G66" s="10"/>
    </row>
    <row r="67" spans="2:7" ht="15.75" hidden="1">
      <c r="B67" s="10"/>
      <c r="G67" s="10"/>
    </row>
    <row r="68" spans="2:7" ht="15.75" hidden="1">
      <c r="B68" s="10"/>
      <c r="G68" s="10"/>
    </row>
    <row r="69" spans="2:7" ht="15.75" hidden="1">
      <c r="B69" s="10" t="s">
        <v>73</v>
      </c>
      <c r="G69" s="10" t="s">
        <v>77</v>
      </c>
    </row>
  </sheetData>
  <sheetProtection/>
  <mergeCells count="17">
    <mergeCell ref="J6:J7"/>
    <mergeCell ref="K6:K7"/>
    <mergeCell ref="A2:L2"/>
    <mergeCell ref="A3:L3"/>
    <mergeCell ref="A4:L4"/>
    <mergeCell ref="E5:L5"/>
    <mergeCell ref="L6:L7"/>
    <mergeCell ref="A1:L1"/>
    <mergeCell ref="A62:L62"/>
    <mergeCell ref="A6:A7"/>
    <mergeCell ref="B6:B7"/>
    <mergeCell ref="C6:C7"/>
    <mergeCell ref="D6:E6"/>
    <mergeCell ref="F6:F7"/>
    <mergeCell ref="G6:G7"/>
    <mergeCell ref="H6:H7"/>
    <mergeCell ref="I6:I7"/>
  </mergeCells>
  <printOptions horizontalCentered="1"/>
  <pageMargins left="0.2" right="0.196850393700787" top="0.75" bottom="0.24" header="0.16" footer="0.24"/>
  <pageSetup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20"/>
  <sheetViews>
    <sheetView tabSelected="1" zoomScale="70" zoomScaleNormal="70" zoomScalePageLayoutView="0" workbookViewId="0" topLeftCell="C1">
      <selection activeCell="A3" sqref="A3:Z3"/>
    </sheetView>
  </sheetViews>
  <sheetFormatPr defaultColWidth="9.00390625" defaultRowHeight="15.75"/>
  <cols>
    <col min="1" max="1" width="4.625" style="18" customWidth="1"/>
    <col min="2" max="2" width="35.375" style="20" customWidth="1"/>
    <col min="3" max="3" width="12.625" style="18" customWidth="1"/>
    <col min="4" max="4" width="12.75390625" style="18" customWidth="1"/>
    <col min="5" max="5" width="10.625" style="18" customWidth="1"/>
    <col min="6" max="6" width="9.375" style="18" customWidth="1"/>
    <col min="7" max="7" width="12.625" style="18" hidden="1" customWidth="1"/>
    <col min="8" max="8" width="10.75390625" style="18" customWidth="1"/>
    <col min="9" max="9" width="11.00390625" style="18" hidden="1" customWidth="1"/>
    <col min="10" max="10" width="6.875" style="18" customWidth="1"/>
    <col min="11" max="11" width="7.75390625" style="21" customWidth="1"/>
    <col min="12" max="12" width="7.75390625" style="18" customWidth="1"/>
    <col min="13" max="13" width="12.625" style="18" customWidth="1"/>
    <col min="14" max="14" width="10.375" style="18" customWidth="1"/>
    <col min="15" max="15" width="8.75390625" style="18" customWidth="1"/>
    <col min="16" max="16" width="7.50390625" style="30" hidden="1" customWidth="1"/>
    <col min="17" max="17" width="12.00390625" style="18" customWidth="1"/>
    <col min="18" max="18" width="10.75390625" style="18" customWidth="1"/>
    <col min="19" max="19" width="10.50390625" style="18" customWidth="1"/>
    <col min="20" max="20" width="9.50390625" style="18" customWidth="1"/>
    <col min="21" max="21" width="11.25390625" style="18" customWidth="1"/>
    <col min="22" max="22" width="10.875" style="18" customWidth="1"/>
    <col min="23" max="23" width="12.125" style="18" customWidth="1"/>
    <col min="24" max="24" width="9.50390625" style="18" customWidth="1"/>
    <col min="25" max="25" width="9.625" style="19" customWidth="1"/>
    <col min="26" max="26" width="10.25390625" style="19" customWidth="1"/>
    <col min="27" max="16384" width="9.00390625" style="19" customWidth="1"/>
  </cols>
  <sheetData>
    <row r="1" spans="1:24" ht="18.75" customHeight="1">
      <c r="A1" s="172" t="s">
        <v>88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2:26" ht="48" customHeight="1">
      <c r="B2" s="179" t="s">
        <v>125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ht="28.5" customHeight="1">
      <c r="A3" s="180" t="str">
        <f>+PL01!A3</f>
        <v>(Kèm theo Nghị quyết số 42/NQ-HĐND ngày 08/12/2021 của Hội đồng nhân dân tỉnh An Giang)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20:26" ht="24" customHeight="1">
      <c r="T4" s="29"/>
      <c r="U4" s="29"/>
      <c r="X4" s="156"/>
      <c r="Y4" s="157" t="s">
        <v>132</v>
      </c>
      <c r="Z4" s="157"/>
    </row>
    <row r="5" spans="1:26" s="142" customFormat="1" ht="43.5" customHeight="1">
      <c r="A5" s="174" t="s">
        <v>20</v>
      </c>
      <c r="B5" s="174" t="s">
        <v>21</v>
      </c>
      <c r="C5" s="174" t="s">
        <v>22</v>
      </c>
      <c r="D5" s="174" t="s">
        <v>23</v>
      </c>
      <c r="E5" s="174" t="s">
        <v>24</v>
      </c>
      <c r="F5" s="174"/>
      <c r="G5" s="174"/>
      <c r="H5" s="174"/>
      <c r="I5" s="174" t="s">
        <v>25</v>
      </c>
      <c r="J5" s="174" t="s">
        <v>26</v>
      </c>
      <c r="K5" s="174" t="s">
        <v>27</v>
      </c>
      <c r="L5" s="174"/>
      <c r="M5" s="174" t="s">
        <v>28</v>
      </c>
      <c r="N5" s="174"/>
      <c r="O5" s="174"/>
      <c r="P5" s="174"/>
      <c r="Q5" s="174" t="s">
        <v>114</v>
      </c>
      <c r="R5" s="174" t="s">
        <v>35</v>
      </c>
      <c r="S5" s="174"/>
      <c r="T5" s="174"/>
      <c r="U5" s="182" t="s">
        <v>36</v>
      </c>
      <c r="V5" s="183"/>
      <c r="W5" s="183"/>
      <c r="X5" s="183"/>
      <c r="Y5" s="183"/>
      <c r="Z5" s="184"/>
    </row>
    <row r="6" spans="1:26" s="142" customFormat="1" ht="35.25" customHeight="1">
      <c r="A6" s="174"/>
      <c r="B6" s="174"/>
      <c r="C6" s="174"/>
      <c r="D6" s="174"/>
      <c r="E6" s="174" t="s">
        <v>29</v>
      </c>
      <c r="F6" s="174" t="s">
        <v>30</v>
      </c>
      <c r="G6" s="174"/>
      <c r="H6" s="174"/>
      <c r="I6" s="174"/>
      <c r="J6" s="174"/>
      <c r="K6" s="174" t="s">
        <v>31</v>
      </c>
      <c r="L6" s="174" t="s">
        <v>32</v>
      </c>
      <c r="M6" s="174" t="s">
        <v>70</v>
      </c>
      <c r="N6" s="174" t="s">
        <v>33</v>
      </c>
      <c r="O6" s="174" t="s">
        <v>52</v>
      </c>
      <c r="P6" s="143"/>
      <c r="Q6" s="174"/>
      <c r="R6" s="174" t="s">
        <v>98</v>
      </c>
      <c r="S6" s="174" t="s">
        <v>128</v>
      </c>
      <c r="T6" s="174" t="s">
        <v>50</v>
      </c>
      <c r="U6" s="175" t="s">
        <v>115</v>
      </c>
      <c r="V6" s="178" t="s">
        <v>126</v>
      </c>
      <c r="W6" s="166" t="s">
        <v>127</v>
      </c>
      <c r="X6" s="174" t="s">
        <v>119</v>
      </c>
      <c r="Y6" s="174"/>
      <c r="Z6" s="174"/>
    </row>
    <row r="7" spans="1:26" s="142" customFormat="1" ht="30.75" customHeight="1">
      <c r="A7" s="174"/>
      <c r="B7" s="174"/>
      <c r="C7" s="174"/>
      <c r="D7" s="174"/>
      <c r="E7" s="174"/>
      <c r="F7" s="174" t="s">
        <v>37</v>
      </c>
      <c r="G7" s="174" t="s">
        <v>38</v>
      </c>
      <c r="H7" s="174" t="s">
        <v>39</v>
      </c>
      <c r="I7" s="174"/>
      <c r="J7" s="174"/>
      <c r="K7" s="174"/>
      <c r="L7" s="174"/>
      <c r="M7" s="174"/>
      <c r="N7" s="174"/>
      <c r="O7" s="174"/>
      <c r="P7" s="173" t="s">
        <v>49</v>
      </c>
      <c r="Q7" s="174"/>
      <c r="R7" s="174"/>
      <c r="S7" s="174"/>
      <c r="T7" s="174"/>
      <c r="U7" s="176"/>
      <c r="V7" s="178"/>
      <c r="W7" s="185"/>
      <c r="X7" s="175" t="s">
        <v>120</v>
      </c>
      <c r="Y7" s="181" t="s">
        <v>122</v>
      </c>
      <c r="Z7" s="181"/>
    </row>
    <row r="8" spans="1:26" s="142" customFormat="1" ht="79.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3"/>
      <c r="Q8" s="174"/>
      <c r="R8" s="174"/>
      <c r="S8" s="174"/>
      <c r="T8" s="174"/>
      <c r="U8" s="177"/>
      <c r="V8" s="178"/>
      <c r="W8" s="167"/>
      <c r="X8" s="177"/>
      <c r="Y8" s="141" t="s">
        <v>121</v>
      </c>
      <c r="Z8" s="141" t="s">
        <v>50</v>
      </c>
    </row>
    <row r="9" spans="1:26" s="23" customFormat="1" ht="25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/>
      <c r="H9" s="22">
        <v>7</v>
      </c>
      <c r="I9" s="22"/>
      <c r="J9" s="22">
        <v>8</v>
      </c>
      <c r="K9" s="22">
        <v>9</v>
      </c>
      <c r="L9" s="22">
        <v>10</v>
      </c>
      <c r="M9" s="22">
        <v>11</v>
      </c>
      <c r="N9" s="22">
        <v>12</v>
      </c>
      <c r="O9" s="22">
        <v>13</v>
      </c>
      <c r="P9" s="113">
        <v>14</v>
      </c>
      <c r="Q9" s="22">
        <v>14</v>
      </c>
      <c r="R9" s="22">
        <v>15</v>
      </c>
      <c r="S9" s="22">
        <v>16</v>
      </c>
      <c r="T9" s="22">
        <v>17</v>
      </c>
      <c r="U9" s="22">
        <v>18</v>
      </c>
      <c r="V9" s="22">
        <v>19</v>
      </c>
      <c r="W9" s="22">
        <v>20</v>
      </c>
      <c r="X9" s="22">
        <v>21</v>
      </c>
      <c r="Y9" s="22">
        <v>22</v>
      </c>
      <c r="Z9" s="22">
        <v>23</v>
      </c>
    </row>
    <row r="10" spans="1:26" s="27" customFormat="1" ht="35.25" customHeight="1">
      <c r="A10" s="114"/>
      <c r="B10" s="114" t="s">
        <v>40</v>
      </c>
      <c r="C10" s="114"/>
      <c r="D10" s="114"/>
      <c r="E10" s="26">
        <f>+E11+E12+E13+E14</f>
        <v>2397019.3824</v>
      </c>
      <c r="F10" s="26">
        <f aca="true" t="shared" si="0" ref="F10:T10">+F11+F12+F13+F14</f>
        <v>599450.3824</v>
      </c>
      <c r="G10" s="26">
        <f t="shared" si="0"/>
        <v>0</v>
      </c>
      <c r="H10" s="26">
        <f t="shared" si="0"/>
        <v>1797569</v>
      </c>
      <c r="I10" s="26">
        <f t="shared" si="0"/>
        <v>42440</v>
      </c>
      <c r="J10" s="26"/>
      <c r="K10" s="26"/>
      <c r="L10" s="26"/>
      <c r="M10" s="26">
        <f t="shared" si="0"/>
        <v>1173126.89372</v>
      </c>
      <c r="N10" s="26">
        <f t="shared" si="0"/>
        <v>624442.1100399999</v>
      </c>
      <c r="O10" s="26"/>
      <c r="P10" s="115"/>
      <c r="Q10" s="26">
        <f t="shared" si="0"/>
        <v>16799</v>
      </c>
      <c r="R10" s="26">
        <f t="shared" si="0"/>
        <v>212500</v>
      </c>
      <c r="S10" s="26">
        <f>+S11+S12+S13+S14</f>
        <v>74031</v>
      </c>
      <c r="T10" s="26">
        <f t="shared" si="0"/>
        <v>6849</v>
      </c>
      <c r="U10" s="26">
        <f aca="true" t="shared" si="1" ref="U10:Z10">+U11+U12+U13+U14+U18</f>
        <v>204800</v>
      </c>
      <c r="V10" s="26">
        <f t="shared" si="1"/>
        <v>44316</v>
      </c>
      <c r="W10" s="26">
        <f t="shared" si="1"/>
        <v>-160484</v>
      </c>
      <c r="X10" s="26">
        <f t="shared" si="1"/>
        <v>23500</v>
      </c>
      <c r="Y10" s="26">
        <f t="shared" si="1"/>
        <v>8100</v>
      </c>
      <c r="Z10" s="26">
        <f t="shared" si="1"/>
        <v>15400</v>
      </c>
    </row>
    <row r="11" spans="1:26" s="31" customFormat="1" ht="120.75" customHeight="1">
      <c r="A11" s="116">
        <v>1</v>
      </c>
      <c r="B11" s="117" t="s">
        <v>89</v>
      </c>
      <c r="C11" s="116" t="s">
        <v>82</v>
      </c>
      <c r="D11" s="116" t="s">
        <v>91</v>
      </c>
      <c r="E11" s="109">
        <v>323714</v>
      </c>
      <c r="F11" s="109">
        <v>65572</v>
      </c>
      <c r="G11" s="109"/>
      <c r="H11" s="109">
        <v>258142</v>
      </c>
      <c r="I11" s="118" t="s">
        <v>41</v>
      </c>
      <c r="J11" s="110" t="s">
        <v>51</v>
      </c>
      <c r="K11" s="111">
        <v>11.55</v>
      </c>
      <c r="L11" s="116" t="s">
        <v>43</v>
      </c>
      <c r="M11" s="32">
        <f>232328</f>
        <v>232328</v>
      </c>
      <c r="N11" s="32">
        <v>25814</v>
      </c>
      <c r="O11" s="119">
        <v>0.02</v>
      </c>
      <c r="P11" s="120"/>
      <c r="Q11" s="33">
        <v>16799</v>
      </c>
      <c r="R11" s="33">
        <v>9004</v>
      </c>
      <c r="S11" s="33">
        <v>8052</v>
      </c>
      <c r="T11" s="33">
        <v>409</v>
      </c>
      <c r="U11" s="33">
        <v>0</v>
      </c>
      <c r="V11" s="32">
        <v>0</v>
      </c>
      <c r="W11" s="32"/>
      <c r="X11" s="33">
        <f>Y11+Z11</f>
        <v>1820</v>
      </c>
      <c r="Y11" s="148">
        <v>1300</v>
      </c>
      <c r="Z11" s="33">
        <v>520</v>
      </c>
    </row>
    <row r="12" spans="1:26" s="31" customFormat="1" ht="108" customHeight="1">
      <c r="A12" s="116">
        <v>2</v>
      </c>
      <c r="B12" s="117" t="s">
        <v>96</v>
      </c>
      <c r="C12" s="116" t="s">
        <v>83</v>
      </c>
      <c r="D12" s="108" t="s">
        <v>92</v>
      </c>
      <c r="E12" s="109">
        <f>SUM(F12:H12)</f>
        <v>134468</v>
      </c>
      <c r="F12" s="112">
        <v>21222</v>
      </c>
      <c r="G12" s="109"/>
      <c r="H12" s="109">
        <v>113246</v>
      </c>
      <c r="I12" s="118"/>
      <c r="J12" s="110" t="s">
        <v>42</v>
      </c>
      <c r="K12" s="111">
        <v>5.16</v>
      </c>
      <c r="L12" s="110" t="s">
        <v>43</v>
      </c>
      <c r="M12" s="32">
        <f>113246-N12</f>
        <v>79272.20000000001</v>
      </c>
      <c r="N12" s="32">
        <f>H12*30%</f>
        <v>33973.799999999996</v>
      </c>
      <c r="O12" s="119">
        <v>0.02</v>
      </c>
      <c r="P12" s="120"/>
      <c r="Q12" s="32">
        <v>0</v>
      </c>
      <c r="R12" s="33">
        <v>22104</v>
      </c>
      <c r="S12" s="33">
        <v>10982</v>
      </c>
      <c r="T12" s="33">
        <v>69</v>
      </c>
      <c r="U12" s="33">
        <v>19224</v>
      </c>
      <c r="V12" s="150">
        <v>12036</v>
      </c>
      <c r="W12" s="153">
        <f>V12-U12</f>
        <v>-7188</v>
      </c>
      <c r="X12" s="33">
        <f aca="true" t="shared" si="2" ref="X12:X18">Y12+Z12</f>
        <v>2032</v>
      </c>
      <c r="Y12" s="148">
        <v>1300</v>
      </c>
      <c r="Z12" s="33">
        <v>732</v>
      </c>
    </row>
    <row r="13" spans="1:26" s="28" customFormat="1" ht="108" customHeight="1">
      <c r="A13" s="116">
        <v>3</v>
      </c>
      <c r="B13" s="117" t="s">
        <v>94</v>
      </c>
      <c r="C13" s="116" t="s">
        <v>76</v>
      </c>
      <c r="D13" s="108" t="s">
        <v>93</v>
      </c>
      <c r="E13" s="109">
        <f>SUM(F13:H13)</f>
        <v>651515</v>
      </c>
      <c r="F13" s="112">
        <v>137334</v>
      </c>
      <c r="G13" s="109"/>
      <c r="H13" s="109">
        <v>514181</v>
      </c>
      <c r="I13" s="118"/>
      <c r="J13" s="110" t="s">
        <v>42</v>
      </c>
      <c r="K13" s="111">
        <v>29.242145</v>
      </c>
      <c r="L13" s="110" t="s">
        <v>43</v>
      </c>
      <c r="M13" s="32">
        <f>16.154699*22280</f>
        <v>359926.69372000004</v>
      </c>
      <c r="N13" s="112">
        <f>6.923443*22280</f>
        <v>154254.31003999998</v>
      </c>
      <c r="O13" s="119">
        <v>0.02</v>
      </c>
      <c r="P13" s="121"/>
      <c r="Q13" s="32">
        <v>0</v>
      </c>
      <c r="R13" s="32">
        <v>64813</v>
      </c>
      <c r="S13" s="32">
        <v>38944</v>
      </c>
      <c r="T13" s="33">
        <v>388</v>
      </c>
      <c r="U13" s="33">
        <v>50658</v>
      </c>
      <c r="V13" s="151">
        <v>10911</v>
      </c>
      <c r="W13" s="153">
        <f aca="true" t="shared" si="3" ref="W13:W18">V13-U13</f>
        <v>-39747</v>
      </c>
      <c r="X13" s="33">
        <f t="shared" si="2"/>
        <v>8169</v>
      </c>
      <c r="Y13" s="148">
        <v>5500</v>
      </c>
      <c r="Z13" s="33">
        <v>2669</v>
      </c>
    </row>
    <row r="14" spans="1:26" s="28" customFormat="1" ht="57.75" customHeight="1">
      <c r="A14" s="116">
        <v>4</v>
      </c>
      <c r="B14" s="117" t="s">
        <v>95</v>
      </c>
      <c r="C14" s="116" t="s">
        <v>97</v>
      </c>
      <c r="D14" s="108" t="s">
        <v>87</v>
      </c>
      <c r="E14" s="109">
        <f>SUM(F14:H14)</f>
        <v>1287322.3824</v>
      </c>
      <c r="F14" s="112">
        <f>16461.508*22.8</f>
        <v>375322.38240000006</v>
      </c>
      <c r="G14" s="109"/>
      <c r="H14" s="109">
        <f>40*22800</f>
        <v>912000</v>
      </c>
      <c r="I14" s="118"/>
      <c r="J14" s="110" t="s">
        <v>42</v>
      </c>
      <c r="K14" s="111">
        <v>40</v>
      </c>
      <c r="L14" s="110" t="s">
        <v>43</v>
      </c>
      <c r="M14" s="32">
        <f>H14*0.55</f>
        <v>501600.00000000006</v>
      </c>
      <c r="N14" s="112">
        <f>H14*0.45</f>
        <v>410400</v>
      </c>
      <c r="O14" s="119"/>
      <c r="P14" s="121"/>
      <c r="Q14" s="32">
        <v>0</v>
      </c>
      <c r="R14" s="32">
        <v>116579</v>
      </c>
      <c r="S14" s="32">
        <v>16053</v>
      </c>
      <c r="T14" s="32">
        <f>T15+T16</f>
        <v>5983</v>
      </c>
      <c r="U14" s="32">
        <v>81584</v>
      </c>
      <c r="V14" s="151">
        <v>21369</v>
      </c>
      <c r="W14" s="153">
        <f t="shared" si="3"/>
        <v>-60215</v>
      </c>
      <c r="X14" s="33">
        <f t="shared" si="2"/>
        <v>9919</v>
      </c>
      <c r="Y14" s="144">
        <v>0</v>
      </c>
      <c r="Z14" s="33">
        <v>9919</v>
      </c>
    </row>
    <row r="15" spans="1:26" s="103" customFormat="1" ht="41.25" customHeight="1">
      <c r="A15" s="122"/>
      <c r="B15" s="123" t="s">
        <v>79</v>
      </c>
      <c r="C15" s="122"/>
      <c r="D15" s="124"/>
      <c r="E15" s="125"/>
      <c r="F15" s="126"/>
      <c r="G15" s="125"/>
      <c r="H15" s="125">
        <f>20*22800</f>
        <v>456000</v>
      </c>
      <c r="I15" s="127"/>
      <c r="J15" s="128" t="s">
        <v>42</v>
      </c>
      <c r="K15" s="129">
        <v>20</v>
      </c>
      <c r="L15" s="128" t="s">
        <v>43</v>
      </c>
      <c r="M15" s="130">
        <f>+H15*0.8</f>
        <v>364800</v>
      </c>
      <c r="N15" s="126">
        <f>+H15*0.2</f>
        <v>91200</v>
      </c>
      <c r="O15" s="131">
        <v>0.02</v>
      </c>
      <c r="P15" s="132"/>
      <c r="Q15" s="130">
        <v>0</v>
      </c>
      <c r="R15" s="130">
        <v>29277</v>
      </c>
      <c r="S15" s="130">
        <v>2974</v>
      </c>
      <c r="T15" s="102">
        <v>4191</v>
      </c>
      <c r="U15" s="102">
        <v>36048</v>
      </c>
      <c r="V15" s="101">
        <v>16432</v>
      </c>
      <c r="W15" s="153">
        <f t="shared" si="3"/>
        <v>-19616</v>
      </c>
      <c r="X15" s="101">
        <f t="shared" si="2"/>
        <v>6701</v>
      </c>
      <c r="Y15" s="145">
        <v>0</v>
      </c>
      <c r="Z15" s="101">
        <v>6701</v>
      </c>
    </row>
    <row r="16" spans="1:26" s="103" customFormat="1" ht="41.25" customHeight="1">
      <c r="A16" s="122"/>
      <c r="B16" s="123" t="s">
        <v>80</v>
      </c>
      <c r="C16" s="122"/>
      <c r="D16" s="124"/>
      <c r="E16" s="125"/>
      <c r="F16" s="126"/>
      <c r="G16" s="125"/>
      <c r="H16" s="125">
        <f>20*22800</f>
        <v>456000</v>
      </c>
      <c r="I16" s="127"/>
      <c r="J16" s="128" t="s">
        <v>42</v>
      </c>
      <c r="K16" s="129">
        <v>20</v>
      </c>
      <c r="L16" s="128" t="s">
        <v>43</v>
      </c>
      <c r="M16" s="130">
        <f>+H16*0.3</f>
        <v>136800</v>
      </c>
      <c r="N16" s="126">
        <f>+H16*0.7</f>
        <v>319200</v>
      </c>
      <c r="O16" s="133">
        <v>0.0475</v>
      </c>
      <c r="P16" s="132"/>
      <c r="Q16" s="130">
        <v>0</v>
      </c>
      <c r="R16" s="130">
        <v>87302</v>
      </c>
      <c r="S16" s="130">
        <v>13079</v>
      </c>
      <c r="T16" s="102">
        <v>1792</v>
      </c>
      <c r="U16" s="102">
        <v>45536</v>
      </c>
      <c r="V16" s="101">
        <v>4937</v>
      </c>
      <c r="W16" s="153">
        <f t="shared" si="3"/>
        <v>-40599</v>
      </c>
      <c r="X16" s="101">
        <f t="shared" si="2"/>
        <v>3218</v>
      </c>
      <c r="Y16" s="145">
        <v>0</v>
      </c>
      <c r="Z16" s="101">
        <v>3218</v>
      </c>
    </row>
    <row r="17" spans="1:26" ht="83.25" customHeight="1" hidden="1">
      <c r="A17" s="100">
        <v>5</v>
      </c>
      <c r="B17" s="104" t="s">
        <v>47</v>
      </c>
      <c r="C17" s="100" t="s">
        <v>44</v>
      </c>
      <c r="D17" s="134" t="s">
        <v>48</v>
      </c>
      <c r="E17" s="105">
        <f>SUM(F17:H17)</f>
        <v>353428</v>
      </c>
      <c r="F17" s="105">
        <f>1.49*23720</f>
        <v>35342.8</v>
      </c>
      <c r="G17" s="105"/>
      <c r="H17" s="105">
        <f>13.41*23720</f>
        <v>318085.2</v>
      </c>
      <c r="I17" s="100"/>
      <c r="J17" s="106"/>
      <c r="K17" s="135">
        <v>14.9</v>
      </c>
      <c r="L17" s="106" t="s">
        <v>43</v>
      </c>
      <c r="M17" s="136">
        <f>+H17*0.6</f>
        <v>190851.12</v>
      </c>
      <c r="N17" s="136">
        <f>+H17*0.4</f>
        <v>127234.08000000002</v>
      </c>
      <c r="O17" s="137">
        <v>0.02</v>
      </c>
      <c r="P17" s="138"/>
      <c r="Q17" s="139"/>
      <c r="R17" s="136">
        <v>0</v>
      </c>
      <c r="S17" s="136"/>
      <c r="T17" s="140" t="e">
        <f>(R17+#REF!)*(O17+P17)</f>
        <v>#REF!</v>
      </c>
      <c r="U17" s="140"/>
      <c r="V17" s="152">
        <v>14585.666666666666</v>
      </c>
      <c r="W17" s="153">
        <f t="shared" si="3"/>
        <v>14585.666666666666</v>
      </c>
      <c r="X17" s="33">
        <f t="shared" si="2"/>
        <v>0</v>
      </c>
      <c r="Y17" s="146"/>
      <c r="Z17" s="147"/>
    </row>
    <row r="18" spans="1:26" ht="60.75" customHeight="1">
      <c r="A18" s="100">
        <v>5</v>
      </c>
      <c r="B18" s="104" t="s">
        <v>47</v>
      </c>
      <c r="C18" s="100" t="s">
        <v>116</v>
      </c>
      <c r="D18" s="108" t="s">
        <v>123</v>
      </c>
      <c r="E18" s="109">
        <v>440005.5</v>
      </c>
      <c r="F18" s="109">
        <v>40000.5</v>
      </c>
      <c r="G18" s="109"/>
      <c r="H18" s="109">
        <v>400005</v>
      </c>
      <c r="I18" s="100"/>
      <c r="J18" s="110" t="s">
        <v>117</v>
      </c>
      <c r="K18" s="111">
        <v>16.5</v>
      </c>
      <c r="L18" s="110" t="s">
        <v>118</v>
      </c>
      <c r="M18" s="32">
        <v>240003</v>
      </c>
      <c r="N18" s="112">
        <v>160002</v>
      </c>
      <c r="O18" s="119">
        <v>0.02</v>
      </c>
      <c r="P18" s="107">
        <v>0.02</v>
      </c>
      <c r="Q18" s="105">
        <v>0</v>
      </c>
      <c r="R18" s="105"/>
      <c r="S18" s="105"/>
      <c r="T18" s="105"/>
      <c r="U18" s="105">
        <v>53334</v>
      </c>
      <c r="V18" s="150">
        <v>0</v>
      </c>
      <c r="W18" s="153">
        <f t="shared" si="3"/>
        <v>-53334</v>
      </c>
      <c r="X18" s="33">
        <f t="shared" si="2"/>
        <v>1560</v>
      </c>
      <c r="Y18" s="147"/>
      <c r="Z18" s="33">
        <v>1560</v>
      </c>
    </row>
    <row r="19" spans="2:16" s="18" customFormat="1" ht="18.75">
      <c r="B19" s="20"/>
      <c r="K19" s="21"/>
      <c r="P19" s="30"/>
    </row>
    <row r="20" spans="2:16" s="18" customFormat="1" ht="18.75">
      <c r="B20" s="20"/>
      <c r="I20" s="17"/>
      <c r="K20" s="21"/>
      <c r="P20" s="30"/>
    </row>
  </sheetData>
  <sheetProtection/>
  <mergeCells count="35">
    <mergeCell ref="A5:A8"/>
    <mergeCell ref="B5:B8"/>
    <mergeCell ref="C5:C8"/>
    <mergeCell ref="D5:D8"/>
    <mergeCell ref="E5:H5"/>
    <mergeCell ref="I5:I8"/>
    <mergeCell ref="E6:E8"/>
    <mergeCell ref="F6:H6"/>
    <mergeCell ref="R5:T5"/>
    <mergeCell ref="O6:O8"/>
    <mergeCell ref="M5:P5"/>
    <mergeCell ref="Y7:Z7"/>
    <mergeCell ref="X6:Z6"/>
    <mergeCell ref="X7:X8"/>
    <mergeCell ref="Q5:Q8"/>
    <mergeCell ref="U5:Z5"/>
    <mergeCell ref="W6:W8"/>
    <mergeCell ref="L6:L8"/>
    <mergeCell ref="M6:M8"/>
    <mergeCell ref="N6:N8"/>
    <mergeCell ref="F7:F8"/>
    <mergeCell ref="G7:G8"/>
    <mergeCell ref="H7:H8"/>
    <mergeCell ref="J5:J8"/>
    <mergeCell ref="K5:L5"/>
    <mergeCell ref="A1:X1"/>
    <mergeCell ref="P7:P8"/>
    <mergeCell ref="R6:R8"/>
    <mergeCell ref="S6:S8"/>
    <mergeCell ref="T6:T8"/>
    <mergeCell ref="U6:U8"/>
    <mergeCell ref="V6:V8"/>
    <mergeCell ref="B2:Z2"/>
    <mergeCell ref="A3:Z3"/>
    <mergeCell ref="K6:K8"/>
  </mergeCells>
  <printOptions horizontalCentered="1"/>
  <pageMargins left="0.24" right="0" top="0.34" bottom="0.25" header="0.2" footer="0.3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="90" zoomScaleNormal="90" zoomScalePageLayoutView="0" workbookViewId="0" topLeftCell="A1">
      <selection activeCell="B22" sqref="B22"/>
    </sheetView>
  </sheetViews>
  <sheetFormatPr defaultColWidth="9.00390625" defaultRowHeight="15.75"/>
  <cols>
    <col min="1" max="1" width="7.00390625" style="12" customWidth="1"/>
    <col min="2" max="2" width="79.253906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8" width="16.125" style="12" customWidth="1"/>
    <col min="9" max="11" width="13.75390625" style="12" hidden="1" customWidth="1"/>
    <col min="12" max="12" width="16.125" style="12" customWidth="1"/>
    <col min="13" max="16384" width="9.00390625" style="12" customWidth="1"/>
  </cols>
  <sheetData>
    <row r="1" spans="1:12" ht="18.75">
      <c r="A1" s="187"/>
      <c r="B1" s="187"/>
      <c r="C1" s="11"/>
      <c r="F1" s="188"/>
      <c r="G1" s="188"/>
      <c r="H1" s="188"/>
      <c r="I1" s="188"/>
      <c r="J1" s="188"/>
      <c r="K1" s="188"/>
      <c r="L1" s="188"/>
    </row>
    <row r="2" spans="1:12" ht="27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8.75" hidden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8.75">
      <c r="A5" s="9"/>
      <c r="B5" s="9"/>
      <c r="C5" s="4"/>
      <c r="E5" s="171"/>
      <c r="F5" s="171"/>
      <c r="G5" s="171"/>
      <c r="H5" s="171"/>
      <c r="I5" s="171"/>
      <c r="J5" s="171"/>
      <c r="K5" s="171"/>
      <c r="L5" s="171"/>
    </row>
    <row r="6" spans="1:12" s="7" customFormat="1" ht="22.5" customHeight="1">
      <c r="A6" s="164"/>
      <c r="B6" s="164"/>
      <c r="C6" s="166"/>
      <c r="D6" s="168"/>
      <c r="E6" s="168"/>
      <c r="F6" s="166"/>
      <c r="G6" s="166"/>
      <c r="H6" s="166"/>
      <c r="I6" s="166"/>
      <c r="J6" s="166"/>
      <c r="K6" s="166"/>
      <c r="L6" s="166"/>
    </row>
    <row r="7" spans="1:12" s="7" customFormat="1" ht="14.25" customHeight="1">
      <c r="A7" s="165"/>
      <c r="B7" s="165"/>
      <c r="C7" s="167"/>
      <c r="D7" s="6"/>
      <c r="E7" s="24"/>
      <c r="F7" s="167"/>
      <c r="G7" s="167"/>
      <c r="H7" s="167"/>
      <c r="I7" s="167"/>
      <c r="J7" s="167"/>
      <c r="K7" s="167"/>
      <c r="L7" s="167"/>
    </row>
    <row r="8" spans="1:12" s="3" customFormat="1" ht="15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16" customFormat="1" ht="59.25" customHeight="1" hidden="1">
      <c r="A9" s="14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</row>
    <row r="10" spans="1:12" s="8" customFormat="1" ht="23.25" customHeight="1">
      <c r="A10" s="34"/>
      <c r="B10" s="35"/>
      <c r="C10" s="34"/>
      <c r="D10" s="36"/>
      <c r="E10" s="36"/>
      <c r="F10" s="36"/>
      <c r="G10" s="37"/>
      <c r="H10" s="37"/>
      <c r="I10" s="38"/>
      <c r="J10" s="38"/>
      <c r="K10" s="38"/>
      <c r="L10" s="38"/>
    </row>
    <row r="11" spans="1:12" s="8" customFormat="1" ht="23.25" customHeight="1">
      <c r="A11" s="39"/>
      <c r="B11" s="40"/>
      <c r="C11" s="39"/>
      <c r="D11" s="41"/>
      <c r="E11" s="41"/>
      <c r="F11" s="41"/>
      <c r="G11" s="42"/>
      <c r="H11" s="43"/>
      <c r="I11" s="44"/>
      <c r="J11" s="44"/>
      <c r="K11" s="44"/>
      <c r="L11" s="44"/>
    </row>
    <row r="12" spans="1:12" s="8" customFormat="1" ht="23.25" customHeight="1">
      <c r="A12" s="39"/>
      <c r="B12" s="40"/>
      <c r="C12" s="41"/>
      <c r="D12" s="41"/>
      <c r="E12" s="45"/>
      <c r="F12" s="45"/>
      <c r="G12" s="46"/>
      <c r="H12" s="46"/>
      <c r="I12" s="46"/>
      <c r="J12" s="46"/>
      <c r="K12" s="46"/>
      <c r="L12" s="44"/>
    </row>
    <row r="13" spans="1:12" s="8" customFormat="1" ht="23.25" customHeight="1">
      <c r="A13" s="39"/>
      <c r="B13" s="40"/>
      <c r="C13" s="41"/>
      <c r="D13" s="41"/>
      <c r="E13" s="41"/>
      <c r="F13" s="41"/>
      <c r="G13" s="44"/>
      <c r="H13" s="44"/>
      <c r="I13" s="44"/>
      <c r="J13" s="44"/>
      <c r="K13" s="44"/>
      <c r="L13" s="44"/>
    </row>
    <row r="14" spans="1:12" s="4" customFormat="1" ht="23.25" customHeight="1">
      <c r="A14" s="39"/>
      <c r="B14" s="40"/>
      <c r="C14" s="47"/>
      <c r="D14" s="47"/>
      <c r="E14" s="48"/>
      <c r="F14" s="47"/>
      <c r="G14" s="49"/>
      <c r="H14" s="49"/>
      <c r="I14" s="49"/>
      <c r="J14" s="49"/>
      <c r="K14" s="49"/>
      <c r="L14" s="44"/>
    </row>
    <row r="15" spans="1:12" s="4" customFormat="1" ht="23.25" customHeight="1">
      <c r="A15" s="39"/>
      <c r="B15" s="40"/>
      <c r="C15" s="41"/>
      <c r="D15" s="41"/>
      <c r="E15" s="41"/>
      <c r="F15" s="41"/>
      <c r="G15" s="44"/>
      <c r="H15" s="44"/>
      <c r="I15" s="44"/>
      <c r="J15" s="44"/>
      <c r="K15" s="44"/>
      <c r="L15" s="44"/>
    </row>
    <row r="16" spans="1:12" s="5" customFormat="1" ht="47.25" customHeight="1">
      <c r="A16" s="71"/>
      <c r="B16" s="50"/>
      <c r="C16" s="51"/>
      <c r="D16" s="52"/>
      <c r="E16" s="52"/>
      <c r="F16" s="52"/>
      <c r="G16" s="53"/>
      <c r="H16" s="53"/>
      <c r="I16" s="53"/>
      <c r="J16" s="53"/>
      <c r="K16" s="53"/>
      <c r="L16" s="53"/>
    </row>
    <row r="17" spans="1:12" s="4" customFormat="1" ht="23.25" customHeight="1">
      <c r="A17" s="54"/>
      <c r="B17" s="55"/>
      <c r="C17" s="47"/>
      <c r="D17" s="47"/>
      <c r="E17" s="48"/>
      <c r="F17" s="47"/>
      <c r="G17" s="49"/>
      <c r="H17" s="49"/>
      <c r="I17" s="56"/>
      <c r="J17" s="56"/>
      <c r="K17" s="56"/>
      <c r="L17" s="49"/>
    </row>
    <row r="18" spans="1:12" s="4" customFormat="1" ht="23.25" customHeight="1">
      <c r="A18" s="54"/>
      <c r="B18" s="55"/>
      <c r="C18" s="51"/>
      <c r="D18" s="52"/>
      <c r="E18" s="52"/>
      <c r="F18" s="47"/>
      <c r="G18" s="49"/>
      <c r="H18" s="49"/>
      <c r="I18" s="49"/>
      <c r="J18" s="49"/>
      <c r="K18" s="49"/>
      <c r="L18" s="49"/>
    </row>
    <row r="19" spans="1:12" s="4" customFormat="1" ht="23.25" customHeight="1">
      <c r="A19" s="54"/>
      <c r="B19" s="57"/>
      <c r="C19" s="47"/>
      <c r="D19" s="47"/>
      <c r="E19" s="47"/>
      <c r="F19" s="47"/>
      <c r="G19" s="49"/>
      <c r="H19" s="49"/>
      <c r="I19" s="49"/>
      <c r="J19" s="49"/>
      <c r="K19" s="49"/>
      <c r="L19" s="49"/>
    </row>
    <row r="20" spans="1:12" s="76" customFormat="1" ht="33.75" customHeight="1">
      <c r="A20" s="72"/>
      <c r="B20" s="73"/>
      <c r="C20" s="74"/>
      <c r="D20" s="74"/>
      <c r="E20" s="74"/>
      <c r="F20" s="74"/>
      <c r="G20" s="75"/>
      <c r="H20" s="75"/>
      <c r="I20" s="75"/>
      <c r="J20" s="75"/>
      <c r="K20" s="75"/>
      <c r="L20" s="75"/>
    </row>
    <row r="21" spans="1:12" s="76" customFormat="1" ht="23.25" customHeight="1">
      <c r="A21" s="72"/>
      <c r="B21" s="73"/>
      <c r="C21" s="74"/>
      <c r="D21" s="74"/>
      <c r="E21" s="74"/>
      <c r="F21" s="74"/>
      <c r="G21" s="75"/>
      <c r="H21" s="75"/>
      <c r="I21" s="75"/>
      <c r="J21" s="75"/>
      <c r="K21" s="75"/>
      <c r="L21" s="75"/>
    </row>
    <row r="22" spans="1:12" s="8" customFormat="1" ht="23.25" customHeight="1">
      <c r="A22" s="39"/>
      <c r="B22" s="40"/>
      <c r="C22" s="41"/>
      <c r="D22" s="41"/>
      <c r="E22" s="45"/>
      <c r="F22" s="41"/>
      <c r="G22" s="44"/>
      <c r="H22" s="44"/>
      <c r="I22" s="44"/>
      <c r="J22" s="44"/>
      <c r="K22" s="44"/>
      <c r="L22" s="44"/>
    </row>
    <row r="23" spans="1:12" s="4" customFormat="1" ht="23.25" customHeight="1">
      <c r="A23" s="39"/>
      <c r="B23" s="40"/>
      <c r="C23" s="47"/>
      <c r="D23" s="47"/>
      <c r="E23" s="48"/>
      <c r="F23" s="47"/>
      <c r="G23" s="49"/>
      <c r="H23" s="49"/>
      <c r="I23" s="49"/>
      <c r="J23" s="49"/>
      <c r="K23" s="49"/>
      <c r="L23" s="44"/>
    </row>
    <row r="24" spans="1:12" s="4" customFormat="1" ht="23.25" customHeight="1">
      <c r="A24" s="39"/>
      <c r="B24" s="55"/>
      <c r="C24" s="47"/>
      <c r="D24" s="47"/>
      <c r="E24" s="48"/>
      <c r="F24" s="47"/>
      <c r="G24" s="49"/>
      <c r="H24" s="49"/>
      <c r="I24" s="49"/>
      <c r="J24" s="49"/>
      <c r="K24" s="49"/>
      <c r="L24" s="44"/>
    </row>
    <row r="25" spans="1:12" s="4" customFormat="1" ht="23.25" customHeight="1">
      <c r="A25" s="60"/>
      <c r="B25" s="55"/>
      <c r="C25" s="47"/>
      <c r="D25" s="47"/>
      <c r="E25" s="48"/>
      <c r="F25" s="47"/>
      <c r="G25" s="49"/>
      <c r="H25" s="49"/>
      <c r="I25" s="49"/>
      <c r="J25" s="49"/>
      <c r="K25" s="49"/>
      <c r="L25" s="44"/>
    </row>
    <row r="26" spans="1:12" s="4" customFormat="1" ht="23.25" customHeight="1">
      <c r="A26" s="60"/>
      <c r="B26" s="55"/>
      <c r="C26" s="47"/>
      <c r="D26" s="47"/>
      <c r="E26" s="48"/>
      <c r="F26" s="47"/>
      <c r="G26" s="49"/>
      <c r="H26" s="49"/>
      <c r="I26" s="49"/>
      <c r="J26" s="49"/>
      <c r="K26" s="49"/>
      <c r="L26" s="49"/>
    </row>
    <row r="27" spans="1:14" s="81" customFormat="1" ht="23.25" customHeight="1">
      <c r="A27" s="77"/>
      <c r="B27" s="78"/>
      <c r="C27" s="79"/>
      <c r="D27" s="79"/>
      <c r="E27" s="79"/>
      <c r="F27" s="79"/>
      <c r="G27" s="80"/>
      <c r="H27" s="80"/>
      <c r="I27" s="80"/>
      <c r="J27" s="80"/>
      <c r="K27" s="80"/>
      <c r="L27" s="80"/>
      <c r="N27" s="82"/>
    </row>
    <row r="28" spans="1:12" s="76" customFormat="1" ht="18.75">
      <c r="A28" s="72"/>
      <c r="B28" s="83"/>
      <c r="C28" s="75"/>
      <c r="D28" s="75"/>
      <c r="E28" s="75"/>
      <c r="F28" s="74"/>
      <c r="G28" s="75"/>
      <c r="H28" s="75"/>
      <c r="I28" s="75"/>
      <c r="J28" s="75"/>
      <c r="K28" s="75"/>
      <c r="L28" s="75"/>
    </row>
    <row r="29" spans="1:12" s="76" customFormat="1" ht="23.25" customHeight="1">
      <c r="A29" s="72"/>
      <c r="B29" s="73"/>
      <c r="C29" s="75"/>
      <c r="D29" s="75"/>
      <c r="E29" s="75"/>
      <c r="F29" s="74"/>
      <c r="G29" s="75"/>
      <c r="H29" s="75"/>
      <c r="I29" s="75"/>
      <c r="J29" s="75"/>
      <c r="K29" s="75"/>
      <c r="L29" s="75"/>
    </row>
    <row r="30" spans="1:12" s="8" customFormat="1" ht="23.25" customHeight="1">
      <c r="A30" s="39"/>
      <c r="B30" s="40"/>
      <c r="C30" s="41"/>
      <c r="D30" s="41"/>
      <c r="E30" s="41"/>
      <c r="F30" s="41"/>
      <c r="G30" s="44"/>
      <c r="H30" s="44"/>
      <c r="I30" s="44"/>
      <c r="J30" s="44"/>
      <c r="K30" s="44"/>
      <c r="L30" s="44"/>
    </row>
    <row r="31" spans="1:12" s="8" customFormat="1" ht="23.25" customHeight="1">
      <c r="A31" s="60"/>
      <c r="B31" s="55"/>
      <c r="C31" s="41"/>
      <c r="D31" s="41"/>
      <c r="E31" s="41"/>
      <c r="F31" s="41"/>
      <c r="G31" s="44"/>
      <c r="H31" s="49"/>
      <c r="I31" s="49"/>
      <c r="J31" s="49"/>
      <c r="K31" s="49"/>
      <c r="L31" s="49"/>
    </row>
    <row r="32" spans="1:12" s="8" customFormat="1" ht="23.25" customHeight="1">
      <c r="A32" s="60"/>
      <c r="B32" s="55"/>
      <c r="C32" s="41"/>
      <c r="D32" s="41"/>
      <c r="E32" s="47"/>
      <c r="F32" s="47"/>
      <c r="G32" s="49"/>
      <c r="H32" s="49"/>
      <c r="I32" s="49"/>
      <c r="J32" s="49"/>
      <c r="K32" s="49"/>
      <c r="L32" s="49"/>
    </row>
    <row r="33" spans="1:12" s="8" customFormat="1" ht="23.25" customHeight="1">
      <c r="A33" s="60"/>
      <c r="B33" s="55"/>
      <c r="C33" s="41"/>
      <c r="D33" s="41"/>
      <c r="E33" s="41"/>
      <c r="F33" s="41"/>
      <c r="G33" s="49"/>
      <c r="H33" s="49"/>
      <c r="I33" s="44"/>
      <c r="J33" s="44"/>
      <c r="K33" s="44"/>
      <c r="L33" s="49"/>
    </row>
    <row r="34" spans="1:12" s="8" customFormat="1" ht="23.25" customHeight="1">
      <c r="A34" s="60"/>
      <c r="B34" s="55"/>
      <c r="C34" s="41"/>
      <c r="D34" s="41"/>
      <c r="E34" s="41"/>
      <c r="F34" s="41"/>
      <c r="G34" s="49"/>
      <c r="H34" s="49"/>
      <c r="I34" s="44"/>
      <c r="J34" s="44"/>
      <c r="K34" s="44"/>
      <c r="L34" s="49"/>
    </row>
    <row r="35" spans="1:12" s="8" customFormat="1" ht="23.25" customHeight="1">
      <c r="A35" s="60"/>
      <c r="B35" s="55"/>
      <c r="C35" s="41"/>
      <c r="D35" s="41"/>
      <c r="E35" s="41"/>
      <c r="F35" s="41"/>
      <c r="G35" s="49"/>
      <c r="H35" s="49"/>
      <c r="I35" s="44"/>
      <c r="J35" s="44"/>
      <c r="K35" s="44"/>
      <c r="L35" s="49"/>
    </row>
    <row r="36" spans="1:12" s="8" customFormat="1" ht="23.25" customHeight="1">
      <c r="A36" s="60"/>
      <c r="B36" s="55"/>
      <c r="C36" s="41"/>
      <c r="D36" s="47"/>
      <c r="E36" s="47"/>
      <c r="F36" s="47"/>
      <c r="G36" s="49"/>
      <c r="H36" s="49"/>
      <c r="I36" s="49"/>
      <c r="J36" s="49"/>
      <c r="K36" s="49"/>
      <c r="L36" s="49"/>
    </row>
    <row r="37" spans="1:12" s="5" customFormat="1" ht="19.5">
      <c r="A37" s="62"/>
      <c r="B37" s="61"/>
      <c r="C37" s="48"/>
      <c r="D37" s="48"/>
      <c r="E37" s="48"/>
      <c r="F37" s="48"/>
      <c r="G37" s="59"/>
      <c r="H37" s="59"/>
      <c r="I37" s="59"/>
      <c r="J37" s="59"/>
      <c r="K37" s="59"/>
      <c r="L37" s="59"/>
    </row>
    <row r="38" spans="1:12" s="5" customFormat="1" ht="20.25" customHeight="1">
      <c r="A38" s="62"/>
      <c r="B38" s="50"/>
      <c r="C38" s="48"/>
      <c r="D38" s="48"/>
      <c r="E38" s="48"/>
      <c r="F38" s="48"/>
      <c r="G38" s="59"/>
      <c r="H38" s="59"/>
      <c r="I38" s="59"/>
      <c r="J38" s="59"/>
      <c r="K38" s="59"/>
      <c r="L38" s="59"/>
    </row>
    <row r="39" spans="1:12" s="4" customFormat="1" ht="23.25" customHeight="1">
      <c r="A39" s="60"/>
      <c r="B39" s="55"/>
      <c r="C39" s="47"/>
      <c r="D39" s="47"/>
      <c r="E39" s="47"/>
      <c r="F39" s="47"/>
      <c r="G39" s="49"/>
      <c r="H39" s="49"/>
      <c r="I39" s="49"/>
      <c r="J39" s="49"/>
      <c r="K39" s="49"/>
      <c r="L39" s="49"/>
    </row>
    <row r="40" spans="1:12" s="81" customFormat="1" ht="23.25" customHeight="1">
      <c r="A40" s="77"/>
      <c r="B40" s="83"/>
      <c r="C40" s="79"/>
      <c r="D40" s="79"/>
      <c r="E40" s="79"/>
      <c r="F40" s="79"/>
      <c r="G40" s="80"/>
      <c r="H40" s="80"/>
      <c r="I40" s="80"/>
      <c r="J40" s="80"/>
      <c r="K40" s="80"/>
      <c r="L40" s="49"/>
    </row>
    <row r="41" spans="1:12" s="81" customFormat="1" ht="23.25" customHeight="1">
      <c r="A41" s="77"/>
      <c r="B41" s="73"/>
      <c r="C41" s="79"/>
      <c r="D41" s="79"/>
      <c r="E41" s="79"/>
      <c r="F41" s="79"/>
      <c r="G41" s="80"/>
      <c r="H41" s="80"/>
      <c r="I41" s="80"/>
      <c r="J41" s="80"/>
      <c r="K41" s="80"/>
      <c r="L41" s="49"/>
    </row>
    <row r="42" spans="1:12" s="4" customFormat="1" ht="23.25" customHeight="1">
      <c r="A42" s="60"/>
      <c r="B42" s="40"/>
      <c r="C42" s="47"/>
      <c r="D42" s="41"/>
      <c r="E42" s="41"/>
      <c r="F42" s="41"/>
      <c r="G42" s="44"/>
      <c r="H42" s="44"/>
      <c r="I42" s="44"/>
      <c r="J42" s="44"/>
      <c r="K42" s="44"/>
      <c r="L42" s="44"/>
    </row>
    <row r="43" spans="1:12" s="8" customFormat="1" ht="23.25" customHeight="1">
      <c r="A43" s="60"/>
      <c r="B43" s="40"/>
      <c r="C43" s="41"/>
      <c r="D43" s="41"/>
      <c r="E43" s="41"/>
      <c r="F43" s="41"/>
      <c r="G43" s="44"/>
      <c r="H43" s="44"/>
      <c r="I43" s="44"/>
      <c r="J43" s="44"/>
      <c r="K43" s="44"/>
      <c r="L43" s="44"/>
    </row>
    <row r="44" spans="1:12" s="4" customFormat="1" ht="23.25" customHeight="1">
      <c r="A44" s="60"/>
      <c r="B44" s="55"/>
      <c r="C44" s="47"/>
      <c r="D44" s="47"/>
      <c r="E44" s="48"/>
      <c r="F44" s="48"/>
      <c r="G44" s="59"/>
      <c r="H44" s="59"/>
      <c r="I44" s="59"/>
      <c r="J44" s="59"/>
      <c r="K44" s="59"/>
      <c r="L44" s="59"/>
    </row>
    <row r="45" spans="1:12" s="4" customFormat="1" ht="23.25" customHeight="1">
      <c r="A45" s="60"/>
      <c r="B45" s="55"/>
      <c r="C45" s="47"/>
      <c r="D45" s="47"/>
      <c r="E45" s="48"/>
      <c r="F45" s="48"/>
      <c r="G45" s="59"/>
      <c r="H45" s="59"/>
      <c r="I45" s="59"/>
      <c r="J45" s="59"/>
      <c r="K45" s="59"/>
      <c r="L45" s="59"/>
    </row>
    <row r="46" spans="1:12" s="4" customFormat="1" ht="23.25" customHeight="1">
      <c r="A46" s="60"/>
      <c r="B46" s="40"/>
      <c r="C46" s="47"/>
      <c r="D46" s="41"/>
      <c r="E46" s="41"/>
      <c r="F46" s="41"/>
      <c r="G46" s="44"/>
      <c r="H46" s="44"/>
      <c r="I46" s="44"/>
      <c r="J46" s="44"/>
      <c r="K46" s="44"/>
      <c r="L46" s="44"/>
    </row>
    <row r="47" spans="1:12" s="4" customFormat="1" ht="23.25" customHeight="1">
      <c r="A47" s="60"/>
      <c r="B47" s="55"/>
      <c r="C47" s="47"/>
      <c r="D47" s="47"/>
      <c r="E47" s="48"/>
      <c r="F47" s="48"/>
      <c r="G47" s="59"/>
      <c r="H47" s="59"/>
      <c r="I47" s="59"/>
      <c r="J47" s="59"/>
      <c r="K47" s="59"/>
      <c r="L47" s="59"/>
    </row>
    <row r="48" spans="1:12" s="4" customFormat="1" ht="23.25" customHeight="1">
      <c r="A48" s="60"/>
      <c r="B48" s="55"/>
      <c r="C48" s="47"/>
      <c r="D48" s="47"/>
      <c r="E48" s="48"/>
      <c r="F48" s="48"/>
      <c r="G48" s="59"/>
      <c r="H48" s="59"/>
      <c r="I48" s="59"/>
      <c r="J48" s="59"/>
      <c r="K48" s="59"/>
      <c r="L48" s="59"/>
    </row>
    <row r="49" spans="1:12" s="4" customFormat="1" ht="23.25" customHeight="1">
      <c r="A49" s="60"/>
      <c r="B49" s="57"/>
      <c r="C49" s="47"/>
      <c r="D49" s="47"/>
      <c r="E49" s="47"/>
      <c r="F49" s="48"/>
      <c r="G49" s="59"/>
      <c r="H49" s="59"/>
      <c r="I49" s="59"/>
      <c r="J49" s="59"/>
      <c r="K49" s="59"/>
      <c r="L49" s="59"/>
    </row>
    <row r="50" spans="1:12" s="76" customFormat="1" ht="45.75" customHeight="1">
      <c r="A50" s="84"/>
      <c r="B50" s="73"/>
      <c r="C50" s="74"/>
      <c r="D50" s="74"/>
      <c r="E50" s="74"/>
      <c r="F50" s="74"/>
      <c r="G50" s="75"/>
      <c r="H50" s="75"/>
      <c r="I50" s="75"/>
      <c r="J50" s="75"/>
      <c r="K50" s="75"/>
      <c r="L50" s="75"/>
    </row>
    <row r="51" spans="1:12" s="76" customFormat="1" ht="23.25" customHeight="1">
      <c r="A51" s="84"/>
      <c r="B51" s="73"/>
      <c r="C51" s="74"/>
      <c r="D51" s="74"/>
      <c r="E51" s="74"/>
      <c r="F51" s="74"/>
      <c r="G51" s="75"/>
      <c r="H51" s="75"/>
      <c r="I51" s="75"/>
      <c r="J51" s="75"/>
      <c r="K51" s="75"/>
      <c r="L51" s="75"/>
    </row>
    <row r="52" spans="1:12" s="4" customFormat="1" ht="23.25" customHeight="1">
      <c r="A52" s="39"/>
      <c r="B52" s="40"/>
      <c r="C52" s="63"/>
      <c r="D52" s="63"/>
      <c r="E52" s="63"/>
      <c r="F52" s="63"/>
      <c r="G52" s="44"/>
      <c r="H52" s="44"/>
      <c r="I52" s="44"/>
      <c r="J52" s="44"/>
      <c r="K52" s="44"/>
      <c r="L52" s="44"/>
    </row>
    <row r="53" spans="1:12" s="5" customFormat="1" ht="43.5" customHeight="1">
      <c r="A53" s="58"/>
      <c r="B53" s="50"/>
      <c r="C53" s="51"/>
      <c r="D53" s="52"/>
      <c r="E53" s="52"/>
      <c r="F53" s="52"/>
      <c r="G53" s="53"/>
      <c r="H53" s="53"/>
      <c r="I53" s="53"/>
      <c r="J53" s="53"/>
      <c r="K53" s="53"/>
      <c r="L53" s="53"/>
    </row>
    <row r="54" spans="1:12" s="5" customFormat="1" ht="23.25" customHeight="1">
      <c r="A54" s="54"/>
      <c r="B54" s="55"/>
      <c r="C54" s="51"/>
      <c r="D54" s="47"/>
      <c r="E54" s="47"/>
      <c r="F54" s="63"/>
      <c r="G54" s="64"/>
      <c r="H54" s="64"/>
      <c r="I54" s="64"/>
      <c r="J54" s="64"/>
      <c r="K54" s="64"/>
      <c r="L54" s="49"/>
    </row>
    <row r="55" spans="1:12" s="5" customFormat="1" ht="23.25" customHeight="1">
      <c r="A55" s="58"/>
      <c r="B55" s="55"/>
      <c r="C55" s="51"/>
      <c r="D55" s="47"/>
      <c r="E55" s="47"/>
      <c r="F55" s="47"/>
      <c r="G55" s="49"/>
      <c r="H55" s="49"/>
      <c r="I55" s="49"/>
      <c r="J55" s="49"/>
      <c r="K55" s="49"/>
      <c r="L55" s="49"/>
    </row>
    <row r="56" spans="1:12" s="5" customFormat="1" ht="23.25" customHeight="1">
      <c r="A56" s="58"/>
      <c r="B56" s="57"/>
      <c r="C56" s="51"/>
      <c r="D56" s="47"/>
      <c r="E56" s="47"/>
      <c r="F56" s="47"/>
      <c r="G56" s="49"/>
      <c r="H56" s="49"/>
      <c r="I56" s="49"/>
      <c r="J56" s="49"/>
      <c r="K56" s="49"/>
      <c r="L56" s="49"/>
    </row>
    <row r="57" spans="1:12" s="76" customFormat="1" ht="44.25" customHeight="1">
      <c r="A57" s="72"/>
      <c r="B57" s="73"/>
      <c r="C57" s="85"/>
      <c r="D57" s="74"/>
      <c r="E57" s="74"/>
      <c r="F57" s="74"/>
      <c r="G57" s="75"/>
      <c r="H57" s="75"/>
      <c r="I57" s="75"/>
      <c r="J57" s="75"/>
      <c r="K57" s="75"/>
      <c r="L57" s="75"/>
    </row>
    <row r="58" spans="1:12" s="76" customFormat="1" ht="23.25" customHeight="1">
      <c r="A58" s="72"/>
      <c r="B58" s="73"/>
      <c r="C58" s="85"/>
      <c r="D58" s="74"/>
      <c r="E58" s="74"/>
      <c r="F58" s="74"/>
      <c r="G58" s="75"/>
      <c r="H58" s="75"/>
      <c r="I58" s="75"/>
      <c r="J58" s="75"/>
      <c r="K58" s="75"/>
      <c r="L58" s="75"/>
    </row>
    <row r="59" spans="1:12" s="4" customFormat="1" ht="23.25" customHeight="1">
      <c r="A59" s="39"/>
      <c r="B59" s="40"/>
      <c r="C59" s="41"/>
      <c r="D59" s="41"/>
      <c r="E59" s="45"/>
      <c r="F59" s="41"/>
      <c r="G59" s="44"/>
      <c r="H59" s="44"/>
      <c r="I59" s="44"/>
      <c r="J59" s="44"/>
      <c r="K59" s="44"/>
      <c r="L59" s="44"/>
    </row>
    <row r="60" spans="1:12" s="4" customFormat="1" ht="23.25" customHeight="1">
      <c r="A60" s="54"/>
      <c r="B60" s="55"/>
      <c r="C60" s="47"/>
      <c r="D60" s="47"/>
      <c r="E60" s="48"/>
      <c r="F60" s="47"/>
      <c r="G60" s="49"/>
      <c r="H60" s="49"/>
      <c r="I60" s="49"/>
      <c r="J60" s="49"/>
      <c r="K60" s="49"/>
      <c r="L60" s="49"/>
    </row>
    <row r="61" spans="1:12" s="4" customFormat="1" ht="23.25" customHeight="1">
      <c r="A61" s="54"/>
      <c r="B61" s="55"/>
      <c r="C61" s="47"/>
      <c r="D61" s="47"/>
      <c r="E61" s="48"/>
      <c r="F61" s="47"/>
      <c r="G61" s="49"/>
      <c r="H61" s="49"/>
      <c r="I61" s="49"/>
      <c r="J61" s="49"/>
      <c r="K61" s="49"/>
      <c r="L61" s="49"/>
    </row>
    <row r="62" spans="1:12" s="4" customFormat="1" ht="23.25" customHeight="1">
      <c r="A62" s="65"/>
      <c r="B62" s="66"/>
      <c r="C62" s="67"/>
      <c r="D62" s="67"/>
      <c r="E62" s="68"/>
      <c r="F62" s="67"/>
      <c r="G62" s="69"/>
      <c r="H62" s="69"/>
      <c r="I62" s="69"/>
      <c r="J62" s="69"/>
      <c r="K62" s="69"/>
      <c r="L62" s="70"/>
    </row>
    <row r="63" spans="1:12" ht="66" customHeight="1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</row>
    <row r="64" ht="15.75" hidden="1">
      <c r="G64" s="25"/>
    </row>
    <row r="65" spans="2:7" ht="15.75" hidden="1">
      <c r="B65" s="10"/>
      <c r="G65" s="10"/>
    </row>
    <row r="66" spans="2:7" ht="15.75" hidden="1">
      <c r="B66" s="10"/>
      <c r="G66" s="10"/>
    </row>
    <row r="67" spans="2:7" ht="15.75" hidden="1">
      <c r="B67" s="10"/>
      <c r="G67" s="10"/>
    </row>
    <row r="68" spans="2:7" ht="15.75" hidden="1">
      <c r="B68" s="10"/>
      <c r="G68" s="10"/>
    </row>
    <row r="69" spans="2:7" ht="15.75" hidden="1">
      <c r="B69" s="10"/>
      <c r="G69" s="10"/>
    </row>
    <row r="70" spans="2:7" ht="15.75" hidden="1">
      <c r="B70" s="10"/>
      <c r="G70" s="10"/>
    </row>
  </sheetData>
  <sheetProtection/>
  <mergeCells count="18">
    <mergeCell ref="K6:K7"/>
    <mergeCell ref="A1:B1"/>
    <mergeCell ref="F1:L1"/>
    <mergeCell ref="A2:L2"/>
    <mergeCell ref="A3:L3"/>
    <mergeCell ref="A4:L4"/>
    <mergeCell ref="E5:L5"/>
    <mergeCell ref="L6:L7"/>
    <mergeCell ref="A63:L63"/>
    <mergeCell ref="A6:A7"/>
    <mergeCell ref="B6:B7"/>
    <mergeCell ref="C6:C7"/>
    <mergeCell ref="D6:E6"/>
    <mergeCell ref="F6:F7"/>
    <mergeCell ref="G6:G7"/>
    <mergeCell ref="H6:H7"/>
    <mergeCell ref="I6:I7"/>
    <mergeCell ref="J6:J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2021-12-09T07:18:09Z</cp:lastPrinted>
  <dcterms:created xsi:type="dcterms:W3CDTF">2017-07-17T01:07:05Z</dcterms:created>
  <dcterms:modified xsi:type="dcterms:W3CDTF">2021-12-09T07:18:14Z</dcterms:modified>
  <cp:category/>
  <cp:version/>
  <cp:contentType/>
  <cp:contentStatus/>
</cp:coreProperties>
</file>